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Estudio PF Aysen (CK)\Producción Primaria\"/>
    </mc:Choice>
  </mc:AlternateContent>
  <bookViews>
    <workbookView xWindow="0" yWindow="0" windowWidth="24000" windowHeight="9885" tabRatio="517" activeTab="1"/>
  </bookViews>
  <sheets>
    <sheet name="MR 5.65" sheetId="9" r:id="rId1"/>
    <sheet name="Entradas 5.65" sheetId="8" r:id="rId2"/>
    <sheet name="I-O 5.65" sheetId="2" r:id="rId3"/>
    <sheet name="Tasa Reempl" sheetId="10" r:id="rId4"/>
    <sheet name="Resultados 5.65" sheetId="11" r:id="rId5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799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crec" localSheetId="1">'Entradas 5.65'!$J$25</definedName>
    <definedName name="Dispon">'I-O 5.65'!$C$1</definedName>
    <definedName name="Pal_Workbook_GUID" hidden="1">"5FM2TFHU5ZS7NCLIZZXVGGZT"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UAEq">'I-O 5.65'!$C$13:$C$20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16" i="11" l="1"/>
  <c r="V116" i="11"/>
  <c r="W116" i="11"/>
  <c r="U117" i="11"/>
  <c r="V117" i="11"/>
  <c r="W117" i="11"/>
  <c r="U118" i="11"/>
  <c r="V118" i="11"/>
  <c r="W118" i="11"/>
  <c r="U119" i="11"/>
  <c r="V119" i="11"/>
  <c r="W119" i="11"/>
  <c r="U120" i="11"/>
  <c r="V120" i="11"/>
  <c r="W120" i="11"/>
  <c r="U121" i="11"/>
  <c r="V121" i="11"/>
  <c r="W121" i="11"/>
  <c r="U122" i="11"/>
  <c r="V122" i="11"/>
  <c r="W122" i="11"/>
  <c r="U123" i="11"/>
  <c r="V123" i="11"/>
  <c r="W123" i="11"/>
  <c r="J41" i="8"/>
  <c r="K41" i="8"/>
  <c r="L41" i="8"/>
  <c r="J42" i="8"/>
  <c r="K42" i="8"/>
  <c r="L42" i="8"/>
  <c r="C1" i="2"/>
  <c r="O116" i="11"/>
  <c r="P116" i="11"/>
  <c r="Q116" i="11"/>
  <c r="R116" i="11"/>
  <c r="S116" i="11"/>
  <c r="T116" i="11"/>
  <c r="O117" i="11"/>
  <c r="P117" i="11"/>
  <c r="Q117" i="11"/>
  <c r="R117" i="11"/>
  <c r="S117" i="11"/>
  <c r="T117" i="11"/>
  <c r="O118" i="11"/>
  <c r="P118" i="11"/>
  <c r="Q118" i="11"/>
  <c r="R118" i="11"/>
  <c r="S118" i="11"/>
  <c r="T118" i="11"/>
  <c r="O119" i="11"/>
  <c r="P119" i="11"/>
  <c r="Q119" i="11"/>
  <c r="R119" i="11"/>
  <c r="S119" i="11"/>
  <c r="T119" i="11"/>
  <c r="O120" i="11"/>
  <c r="P120" i="11"/>
  <c r="Q120" i="11"/>
  <c r="R120" i="11"/>
  <c r="S120" i="11"/>
  <c r="T120" i="11"/>
  <c r="O121" i="11"/>
  <c r="P121" i="11"/>
  <c r="Q121" i="11"/>
  <c r="R121" i="11"/>
  <c r="S121" i="11"/>
  <c r="T121" i="11"/>
  <c r="O122" i="11"/>
  <c r="P122" i="11"/>
  <c r="Q122" i="11"/>
  <c r="R122" i="11"/>
  <c r="S122" i="11"/>
  <c r="T122" i="11"/>
  <c r="O123" i="11"/>
  <c r="P123" i="11"/>
  <c r="Q123" i="11"/>
  <c r="R123" i="11"/>
  <c r="S123" i="11"/>
  <c r="T123" i="11"/>
  <c r="L116" i="11"/>
  <c r="M116" i="11"/>
  <c r="N116" i="11"/>
  <c r="L117" i="11"/>
  <c r="M117" i="11"/>
  <c r="N117" i="11"/>
  <c r="L118" i="11"/>
  <c r="M118" i="11"/>
  <c r="N118" i="11"/>
  <c r="L119" i="11"/>
  <c r="M119" i="11"/>
  <c r="N119" i="11"/>
  <c r="L120" i="11"/>
  <c r="M120" i="11"/>
  <c r="N120" i="11"/>
  <c r="L121" i="11"/>
  <c r="M121" i="11"/>
  <c r="N121" i="11"/>
  <c r="L122" i="11"/>
  <c r="M122" i="11"/>
  <c r="N122" i="11"/>
  <c r="L123" i="11"/>
  <c r="M123" i="11"/>
  <c r="N123" i="11"/>
  <c r="E122" i="11"/>
  <c r="F122" i="11"/>
  <c r="G122" i="11"/>
  <c r="H122" i="11"/>
  <c r="I122" i="11"/>
  <c r="J122" i="11"/>
  <c r="K122" i="11"/>
  <c r="E123" i="11"/>
  <c r="F123" i="11"/>
  <c r="G123" i="11"/>
  <c r="H123" i="11"/>
  <c r="I123" i="11"/>
  <c r="J123" i="11"/>
  <c r="K123" i="11"/>
  <c r="D123" i="11"/>
  <c r="D122" i="11"/>
  <c r="J116" i="11"/>
  <c r="K116" i="11"/>
  <c r="J117" i="11"/>
  <c r="K117" i="11"/>
  <c r="J118" i="11"/>
  <c r="K118" i="11"/>
  <c r="J119" i="11"/>
  <c r="K119" i="11"/>
  <c r="J120" i="11"/>
  <c r="K120" i="11"/>
  <c r="J121" i="11"/>
  <c r="K121" i="11"/>
  <c r="E116" i="11"/>
  <c r="F116" i="11"/>
  <c r="G116" i="11"/>
  <c r="H116" i="11"/>
  <c r="I116" i="11"/>
  <c r="E117" i="11"/>
  <c r="F117" i="11"/>
  <c r="G117" i="11"/>
  <c r="H117" i="11"/>
  <c r="I117" i="11"/>
  <c r="E118" i="11"/>
  <c r="F118" i="11"/>
  <c r="G118" i="11"/>
  <c r="H118" i="11"/>
  <c r="I118" i="11"/>
  <c r="E119" i="11"/>
  <c r="F119" i="11"/>
  <c r="G119" i="11"/>
  <c r="H119" i="11"/>
  <c r="I119" i="11"/>
  <c r="E120" i="11"/>
  <c r="F120" i="11"/>
  <c r="G120" i="11"/>
  <c r="H120" i="11"/>
  <c r="I120" i="11"/>
  <c r="E121" i="11"/>
  <c r="F121" i="11"/>
  <c r="G121" i="11"/>
  <c r="H121" i="11"/>
  <c r="I121" i="11"/>
  <c r="D121" i="11"/>
  <c r="D120" i="11"/>
  <c r="D119" i="11"/>
  <c r="D118" i="11"/>
  <c r="D117" i="11"/>
  <c r="D116" i="11"/>
  <c r="D43" i="8" l="1"/>
  <c r="D42" i="8"/>
  <c r="D41" i="8"/>
  <c r="AA26" i="8" l="1"/>
  <c r="J39" i="8"/>
  <c r="K39" i="8"/>
  <c r="J40" i="8"/>
  <c r="K40" i="8"/>
  <c r="J43" i="8"/>
  <c r="K43" i="8"/>
  <c r="J44" i="8"/>
  <c r="K44" i="8"/>
  <c r="J45" i="8"/>
  <c r="K45" i="8"/>
  <c r="AD26" i="8"/>
  <c r="AC26" i="8"/>
  <c r="AB26" i="8"/>
  <c r="Z26" i="8"/>
  <c r="Y26" i="8"/>
  <c r="X26" i="8"/>
  <c r="V26" i="8"/>
  <c r="U26" i="8"/>
  <c r="T26" i="8"/>
  <c r="R26" i="8"/>
  <c r="Q26" i="8"/>
  <c r="P26" i="8"/>
  <c r="O26" i="8"/>
  <c r="N26" i="8"/>
  <c r="M26" i="8"/>
  <c r="L26" i="8"/>
  <c r="K26" i="8"/>
  <c r="J26" i="8"/>
  <c r="AC70" i="8"/>
  <c r="I46" i="2" s="1"/>
  <c r="AB70" i="8"/>
  <c r="AA70" i="8"/>
  <c r="Z70" i="8"/>
  <c r="Y70" i="8"/>
  <c r="X70" i="8"/>
  <c r="H46" i="2" s="1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D46" i="2" s="1"/>
  <c r="D64" i="8"/>
  <c r="S26" i="8" l="1"/>
  <c r="W26" i="8"/>
  <c r="N77" i="8"/>
  <c r="R77" i="8"/>
  <c r="V77" i="8"/>
  <c r="Z77" i="8"/>
  <c r="J77" i="8"/>
  <c r="K77" i="8"/>
  <c r="O77" i="8"/>
  <c r="S77" i="8"/>
  <c r="W77" i="8"/>
  <c r="AA77" i="8"/>
  <c r="E46" i="2"/>
  <c r="L77" i="8"/>
  <c r="P77" i="8"/>
  <c r="T77" i="8"/>
  <c r="X77" i="8"/>
  <c r="AB77" i="8"/>
  <c r="F46" i="2"/>
  <c r="M77" i="8"/>
  <c r="Q77" i="8"/>
  <c r="U77" i="8"/>
  <c r="Y77" i="8"/>
  <c r="AC77" i="8"/>
  <c r="G46" i="2"/>
  <c r="D40" i="8"/>
  <c r="D44" i="8"/>
  <c r="D45" i="8"/>
  <c r="I48" i="10"/>
  <c r="I42" i="10"/>
  <c r="I43" i="10" s="1"/>
  <c r="G57" i="10" l="1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38" i="10"/>
  <c r="AC68" i="8" l="1"/>
  <c r="AB68" i="8"/>
  <c r="AA68" i="8"/>
  <c r="Z68" i="8"/>
  <c r="Z75" i="8" s="1"/>
  <c r="Y68" i="8"/>
  <c r="X68" i="8"/>
  <c r="W68" i="8"/>
  <c r="V68" i="8"/>
  <c r="V75" i="8" s="1"/>
  <c r="U68" i="8"/>
  <c r="T68" i="8"/>
  <c r="S68" i="8"/>
  <c r="R68" i="8"/>
  <c r="R75" i="8" s="1"/>
  <c r="Q68" i="8"/>
  <c r="P68" i="8"/>
  <c r="O68" i="8"/>
  <c r="N68" i="8"/>
  <c r="N75" i="8" s="1"/>
  <c r="M68" i="8"/>
  <c r="L68" i="8"/>
  <c r="K68" i="8"/>
  <c r="J68" i="8"/>
  <c r="J75" i="8" s="1"/>
  <c r="I68" i="8"/>
  <c r="D62" i="8"/>
  <c r="K75" i="8" l="1"/>
  <c r="O75" i="8"/>
  <c r="S75" i="8"/>
  <c r="W75" i="8"/>
  <c r="AA75" i="8"/>
  <c r="L75" i="8"/>
  <c r="P75" i="8"/>
  <c r="T75" i="8"/>
  <c r="X75" i="8"/>
  <c r="AB75" i="8"/>
  <c r="M75" i="8"/>
  <c r="Q75" i="8"/>
  <c r="U75" i="8"/>
  <c r="Y75" i="8"/>
  <c r="AC75" i="8"/>
  <c r="D63" i="8"/>
  <c r="D65" i="8"/>
  <c r="D61" i="8"/>
  <c r="J67" i="8" l="1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J69" i="8"/>
  <c r="E44" i="2" s="1"/>
  <c r="K69" i="8"/>
  <c r="L69" i="8"/>
  <c r="M69" i="8"/>
  <c r="N69" i="8"/>
  <c r="O69" i="8"/>
  <c r="P69" i="8"/>
  <c r="Q69" i="8"/>
  <c r="R69" i="8"/>
  <c r="S69" i="8"/>
  <c r="G44" i="2" s="1"/>
  <c r="T69" i="8"/>
  <c r="U69" i="8"/>
  <c r="V69" i="8"/>
  <c r="W69" i="8"/>
  <c r="X69" i="8"/>
  <c r="Y69" i="8"/>
  <c r="Z69" i="8"/>
  <c r="AA69" i="8"/>
  <c r="AB69" i="8"/>
  <c r="AC69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I69" i="8"/>
  <c r="D44" i="2" s="1"/>
  <c r="I71" i="8"/>
  <c r="D47" i="2" s="1"/>
  <c r="I67" i="8"/>
  <c r="AC78" i="8" l="1"/>
  <c r="Y78" i="8"/>
  <c r="U78" i="8"/>
  <c r="Q78" i="8"/>
  <c r="M78" i="8"/>
  <c r="AB78" i="8"/>
  <c r="X78" i="8"/>
  <c r="T78" i="8"/>
  <c r="P78" i="8"/>
  <c r="L78" i="8"/>
  <c r="U87" i="8"/>
  <c r="M87" i="8"/>
  <c r="AB87" i="8"/>
  <c r="T87" i="8"/>
  <c r="P87" i="8"/>
  <c r="L87" i="8"/>
  <c r="AA78" i="8"/>
  <c r="W78" i="8"/>
  <c r="G47" i="2"/>
  <c r="S78" i="8"/>
  <c r="O78" i="8"/>
  <c r="K78" i="8"/>
  <c r="AA87" i="8"/>
  <c r="W87" i="8"/>
  <c r="O87" i="8"/>
  <c r="K87" i="8"/>
  <c r="Y87" i="8"/>
  <c r="Q87" i="8"/>
  <c r="Z78" i="8"/>
  <c r="V78" i="8"/>
  <c r="R78" i="8"/>
  <c r="N78" i="8"/>
  <c r="E47" i="2"/>
  <c r="J78" i="8"/>
  <c r="Z87" i="8"/>
  <c r="V87" i="8"/>
  <c r="R87" i="8"/>
  <c r="N87" i="8"/>
  <c r="F75" i="2" s="1"/>
  <c r="F44" i="2"/>
  <c r="X87" i="8"/>
  <c r="H75" i="2" s="1"/>
  <c r="H44" i="2"/>
  <c r="AC87" i="8"/>
  <c r="I75" i="2" s="1"/>
  <c r="I44" i="2"/>
  <c r="G45" i="2"/>
  <c r="S87" i="8"/>
  <c r="G75" i="2" s="1"/>
  <c r="E45" i="2"/>
  <c r="J87" i="8"/>
  <c r="E75" i="2" s="1"/>
  <c r="E43" i="2"/>
  <c r="D45" i="2"/>
  <c r="AA74" i="8"/>
  <c r="W74" i="8"/>
  <c r="O74" i="8"/>
  <c r="K74" i="8"/>
  <c r="AC74" i="8"/>
  <c r="Y74" i="8"/>
  <c r="U74" i="8"/>
  <c r="Q74" i="8"/>
  <c r="M74" i="8"/>
  <c r="AB74" i="8"/>
  <c r="X74" i="8"/>
  <c r="T74" i="8"/>
  <c r="P74" i="8"/>
  <c r="L74" i="8"/>
  <c r="G43" i="2"/>
  <c r="S74" i="8"/>
  <c r="Z74" i="8"/>
  <c r="V74" i="8"/>
  <c r="R74" i="8"/>
  <c r="N74" i="8"/>
  <c r="D43" i="2"/>
  <c r="AC76" i="8"/>
  <c r="Y76" i="8"/>
  <c r="U76" i="8"/>
  <c r="Q76" i="8"/>
  <c r="M76" i="8"/>
  <c r="T76" i="8"/>
  <c r="AB76" i="8"/>
  <c r="X76" i="8"/>
  <c r="P76" i="8"/>
  <c r="L76" i="8"/>
  <c r="AA76" i="8"/>
  <c r="W76" i="8"/>
  <c r="S76" i="8"/>
  <c r="O76" i="8"/>
  <c r="K76" i="8"/>
  <c r="J74" i="8"/>
  <c r="H43" i="2"/>
  <c r="H45" i="2"/>
  <c r="I43" i="2"/>
  <c r="F47" i="2"/>
  <c r="F43" i="2"/>
  <c r="I47" i="2"/>
  <c r="F45" i="2"/>
  <c r="H47" i="2"/>
  <c r="I45" i="2"/>
  <c r="Z76" i="8"/>
  <c r="V76" i="8"/>
  <c r="R76" i="8"/>
  <c r="N76" i="8"/>
  <c r="J76" i="8"/>
  <c r="E39" i="2"/>
  <c r="N83" i="8" l="1"/>
  <c r="O83" i="8" l="1"/>
  <c r="D39" i="8"/>
  <c r="D36" i="8"/>
  <c r="D35" i="8"/>
  <c r="D34" i="8"/>
  <c r="D33" i="8"/>
  <c r="D32" i="8"/>
  <c r="D31" i="8"/>
  <c r="D30" i="8"/>
  <c r="D29" i="8"/>
  <c r="D53" i="8"/>
  <c r="D54" i="8"/>
  <c r="D23" i="8"/>
  <c r="D22" i="8"/>
  <c r="D21" i="8"/>
  <c r="D20" i="8"/>
  <c r="V43" i="8"/>
  <c r="Z43" i="8"/>
  <c r="R43" i="8" l="1"/>
  <c r="AD43" i="8"/>
  <c r="N43" i="8"/>
  <c r="AC43" i="8"/>
  <c r="Y43" i="8"/>
  <c r="U43" i="8"/>
  <c r="Q43" i="8"/>
  <c r="M43" i="8"/>
  <c r="AB43" i="8"/>
  <c r="X43" i="8"/>
  <c r="T43" i="8"/>
  <c r="P43" i="8"/>
  <c r="L43" i="8"/>
  <c r="AA43" i="8"/>
  <c r="W43" i="8"/>
  <c r="S43" i="8"/>
  <c r="O43" i="8"/>
  <c r="D15" i="8"/>
  <c r="D16" i="8"/>
  <c r="D17" i="8"/>
  <c r="D14" i="8"/>
  <c r="Q39" i="8" l="1"/>
  <c r="Y39" i="8"/>
  <c r="L40" i="8"/>
  <c r="N40" i="8"/>
  <c r="P40" i="8"/>
  <c r="R40" i="8"/>
  <c r="T40" i="8"/>
  <c r="V40" i="8"/>
  <c r="X40" i="8"/>
  <c r="Z40" i="8"/>
  <c r="AB40" i="8"/>
  <c r="AD40" i="8"/>
  <c r="O41" i="8"/>
  <c r="S41" i="8"/>
  <c r="W41" i="8"/>
  <c r="AA41" i="8"/>
  <c r="AD41" i="8" l="1"/>
  <c r="Z41" i="8"/>
  <c r="V41" i="8"/>
  <c r="R41" i="8"/>
  <c r="N41" i="8"/>
  <c r="AC41" i="8"/>
  <c r="Y41" i="8"/>
  <c r="U41" i="8"/>
  <c r="Q41" i="8"/>
  <c r="M41" i="8"/>
  <c r="AB41" i="8"/>
  <c r="X41" i="8"/>
  <c r="T41" i="8"/>
  <c r="P41" i="8"/>
  <c r="AC40" i="8"/>
  <c r="Y40" i="8"/>
  <c r="U40" i="8"/>
  <c r="Q40" i="8"/>
  <c r="M40" i="8"/>
  <c r="AA40" i="8"/>
  <c r="W40" i="8"/>
  <c r="S40" i="8"/>
  <c r="O40" i="8"/>
  <c r="AD39" i="8"/>
  <c r="V39" i="8"/>
  <c r="N39" i="8"/>
  <c r="AC39" i="8"/>
  <c r="U39" i="8"/>
  <c r="M39" i="8"/>
  <c r="Z39" i="8"/>
  <c r="R39" i="8"/>
  <c r="AB39" i="8"/>
  <c r="X39" i="8"/>
  <c r="T39" i="8"/>
  <c r="P39" i="8"/>
  <c r="L39" i="8"/>
  <c r="AA39" i="8"/>
  <c r="W39" i="8"/>
  <c r="S39" i="8"/>
  <c r="O39" i="8"/>
  <c r="AD15" i="8" l="1"/>
  <c r="AD44" i="8"/>
  <c r="AD45" i="8"/>
  <c r="AD42" i="8"/>
  <c r="AD48" i="8"/>
  <c r="AD52" i="8"/>
  <c r="X42" i="9" s="1"/>
  <c r="T83" i="8" l="1"/>
  <c r="C39" i="2"/>
  <c r="F39" i="2" l="1"/>
  <c r="D5" i="8"/>
  <c r="D6" i="8"/>
  <c r="D7" i="8"/>
  <c r="D8" i="8"/>
  <c r="D9" i="8"/>
  <c r="D10" i="8"/>
  <c r="D11" i="8"/>
  <c r="D4" i="8"/>
  <c r="N15" i="8" l="1"/>
  <c r="O44" i="8"/>
  <c r="D55" i="8"/>
  <c r="O55" i="8" s="1"/>
  <c r="I45" i="9" s="1"/>
  <c r="S17" i="10"/>
  <c r="T17" i="10"/>
  <c r="R16" i="10"/>
  <c r="S16" i="10"/>
  <c r="Q15" i="10"/>
  <c r="R15" i="10"/>
  <c r="S15" i="10"/>
  <c r="T15" i="10"/>
  <c r="P14" i="10"/>
  <c r="Q14" i="10"/>
  <c r="R14" i="10"/>
  <c r="S14" i="10"/>
  <c r="O13" i="10"/>
  <c r="P13" i="10"/>
  <c r="Q13" i="10"/>
  <c r="R13" i="10"/>
  <c r="S13" i="10"/>
  <c r="N12" i="10"/>
  <c r="O12" i="10"/>
  <c r="P12" i="10"/>
  <c r="Q12" i="10"/>
  <c r="R12" i="10"/>
  <c r="S12" i="10"/>
  <c r="M11" i="10"/>
  <c r="N11" i="10"/>
  <c r="O11" i="10"/>
  <c r="P11" i="10"/>
  <c r="Q11" i="10"/>
  <c r="R11" i="10"/>
  <c r="S11" i="10"/>
  <c r="T11" i="10"/>
  <c r="L10" i="10"/>
  <c r="M10" i="10"/>
  <c r="N10" i="10"/>
  <c r="O10" i="10"/>
  <c r="P10" i="10"/>
  <c r="Q10" i="10"/>
  <c r="R10" i="10"/>
  <c r="S10" i="10"/>
  <c r="K9" i="10"/>
  <c r="L9" i="10"/>
  <c r="M9" i="10"/>
  <c r="N9" i="10"/>
  <c r="O9" i="10"/>
  <c r="P9" i="10"/>
  <c r="Q9" i="10"/>
  <c r="R9" i="10"/>
  <c r="S9" i="10"/>
  <c r="T9" i="10"/>
  <c r="J8" i="10"/>
  <c r="K8" i="10"/>
  <c r="L8" i="10"/>
  <c r="M8" i="10"/>
  <c r="N8" i="10"/>
  <c r="O8" i="10"/>
  <c r="P8" i="10"/>
  <c r="Q8" i="10"/>
  <c r="R8" i="10"/>
  <c r="S8" i="10"/>
  <c r="I7" i="10"/>
  <c r="J7" i="10"/>
  <c r="K7" i="10"/>
  <c r="L7" i="10"/>
  <c r="M7" i="10"/>
  <c r="N7" i="10"/>
  <c r="O7" i="10"/>
  <c r="P7" i="10"/>
  <c r="Q7" i="10"/>
  <c r="R7" i="10"/>
  <c r="S7" i="10"/>
  <c r="T7" i="10"/>
  <c r="H6" i="10"/>
  <c r="I6" i="10"/>
  <c r="J6" i="10"/>
  <c r="K6" i="10"/>
  <c r="L6" i="10"/>
  <c r="M6" i="10"/>
  <c r="N6" i="10"/>
  <c r="O6" i="10"/>
  <c r="P6" i="10"/>
  <c r="Q6" i="10"/>
  <c r="R6" i="10"/>
  <c r="S6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G3" i="10"/>
  <c r="H3" i="10"/>
  <c r="I3" i="10"/>
  <c r="J3" i="10"/>
  <c r="K3" i="10"/>
  <c r="L3" i="10"/>
  <c r="M3" i="10"/>
  <c r="N3" i="10"/>
  <c r="O3" i="10"/>
  <c r="P3" i="10"/>
  <c r="Q3" i="10"/>
  <c r="R3" i="10"/>
  <c r="S3" i="10"/>
  <c r="F3" i="10"/>
  <c r="F4" i="10"/>
  <c r="E3" i="10"/>
  <c r="D3" i="10"/>
  <c r="E4" i="10"/>
  <c r="F5" i="10"/>
  <c r="G6" i="10"/>
  <c r="H7" i="10"/>
  <c r="I8" i="10"/>
  <c r="J9" i="10"/>
  <c r="K10" i="10"/>
  <c r="L11" i="10"/>
  <c r="M12" i="10"/>
  <c r="N13" i="10"/>
  <c r="O14" i="10"/>
  <c r="P15" i="10"/>
  <c r="Q16" i="10"/>
  <c r="R17" i="10"/>
  <c r="S18" i="10"/>
  <c r="T19" i="10"/>
  <c r="U20" i="10"/>
  <c r="T3" i="10"/>
  <c r="T4" i="10"/>
  <c r="T5" i="10"/>
  <c r="T6" i="10"/>
  <c r="T8" i="10"/>
  <c r="T10" i="10"/>
  <c r="T12" i="10"/>
  <c r="T13" i="10"/>
  <c r="T14" i="10"/>
  <c r="T16" i="10"/>
  <c r="T18" i="10"/>
  <c r="U3" i="10"/>
  <c r="U4" i="10"/>
  <c r="U5" i="10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V3" i="10"/>
  <c r="V4" i="10"/>
  <c r="V5" i="10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21" i="10"/>
  <c r="D2" i="10"/>
  <c r="E2" i="10"/>
  <c r="F2" i="10"/>
  <c r="G2" i="10"/>
  <c r="H2" i="10"/>
  <c r="I2" i="10"/>
  <c r="J2" i="10"/>
  <c r="K2" i="10"/>
  <c r="L2" i="10"/>
  <c r="M2" i="10"/>
  <c r="N2" i="10"/>
  <c r="O2" i="10"/>
  <c r="P2" i="10"/>
  <c r="Q2" i="10"/>
  <c r="R2" i="10"/>
  <c r="S2" i="10"/>
  <c r="T2" i="10"/>
  <c r="U2" i="10"/>
  <c r="V2" i="10"/>
  <c r="C2" i="10"/>
  <c r="C3" i="10"/>
  <c r="D4" i="10" s="1"/>
  <c r="B23" i="10"/>
  <c r="K15" i="8"/>
  <c r="L15" i="8"/>
  <c r="M15" i="8"/>
  <c r="O15" i="8"/>
  <c r="P15" i="8"/>
  <c r="Q15" i="8"/>
  <c r="S15" i="8"/>
  <c r="T15" i="8"/>
  <c r="U15" i="8"/>
  <c r="W15" i="8"/>
  <c r="X15" i="8"/>
  <c r="Y15" i="8"/>
  <c r="AA15" i="8"/>
  <c r="AB15" i="8"/>
  <c r="AC15" i="8"/>
  <c r="J48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K52" i="8"/>
  <c r="E42" i="9" s="1"/>
  <c r="L52" i="8"/>
  <c r="F42" i="9" s="1"/>
  <c r="M52" i="8"/>
  <c r="G42" i="9" s="1"/>
  <c r="N52" i="8"/>
  <c r="H42" i="9" s="1"/>
  <c r="O52" i="8"/>
  <c r="I42" i="9" s="1"/>
  <c r="P52" i="8"/>
  <c r="J42" i="9" s="1"/>
  <c r="Q52" i="8"/>
  <c r="K42" i="9" s="1"/>
  <c r="R52" i="8"/>
  <c r="L42" i="9" s="1"/>
  <c r="S52" i="8"/>
  <c r="M42" i="9" s="1"/>
  <c r="T52" i="8"/>
  <c r="N42" i="9" s="1"/>
  <c r="U52" i="8"/>
  <c r="O42" i="9" s="1"/>
  <c r="V52" i="8"/>
  <c r="P42" i="9" s="1"/>
  <c r="W52" i="8"/>
  <c r="Q42" i="9" s="1"/>
  <c r="X52" i="8"/>
  <c r="R42" i="9" s="1"/>
  <c r="Y52" i="8"/>
  <c r="S42" i="9" s="1"/>
  <c r="Z52" i="8"/>
  <c r="T42" i="9" s="1"/>
  <c r="AA52" i="8"/>
  <c r="U42" i="9" s="1"/>
  <c r="AB52" i="8"/>
  <c r="V42" i="9" s="1"/>
  <c r="AC52" i="8"/>
  <c r="W42" i="9" s="1"/>
  <c r="L54" i="8"/>
  <c r="F44" i="9" s="1"/>
  <c r="M54" i="8"/>
  <c r="G44" i="9" s="1"/>
  <c r="N54" i="8"/>
  <c r="H44" i="9" s="1"/>
  <c r="P54" i="8"/>
  <c r="J44" i="9" s="1"/>
  <c r="Q54" i="8"/>
  <c r="K44" i="9" s="1"/>
  <c r="R54" i="8"/>
  <c r="L44" i="9" s="1"/>
  <c r="T54" i="8"/>
  <c r="N44" i="9" s="1"/>
  <c r="U54" i="8"/>
  <c r="O44" i="9" s="1"/>
  <c r="V54" i="8"/>
  <c r="P44" i="9" s="1"/>
  <c r="X54" i="8"/>
  <c r="R44" i="9" s="1"/>
  <c r="Y54" i="8"/>
  <c r="S44" i="9" s="1"/>
  <c r="Z54" i="8"/>
  <c r="T44" i="9" s="1"/>
  <c r="AB54" i="8"/>
  <c r="V44" i="9" s="1"/>
  <c r="AC54" i="8"/>
  <c r="W44" i="9" s="1"/>
  <c r="N55" i="8"/>
  <c r="H45" i="9" s="1"/>
  <c r="V55" i="8"/>
  <c r="P45" i="9" s="1"/>
  <c r="J54" i="8"/>
  <c r="D44" i="9" s="1"/>
  <c r="J52" i="8"/>
  <c r="D42" i="9" s="1"/>
  <c r="I7" i="8"/>
  <c r="C8" i="9" s="1"/>
  <c r="I11" i="8"/>
  <c r="C12" i="9" s="1"/>
  <c r="G7" i="8"/>
  <c r="G6" i="8"/>
  <c r="Z49" i="9"/>
  <c r="Z48" i="9"/>
  <c r="Z47" i="9"/>
  <c r="Z46" i="9"/>
  <c r="I10" i="8"/>
  <c r="C11" i="9" s="1"/>
  <c r="I6" i="8"/>
  <c r="C7" i="9" s="1"/>
  <c r="I9" i="8"/>
  <c r="C10" i="9" s="1"/>
  <c r="I5" i="8"/>
  <c r="C6" i="9" s="1"/>
  <c r="B31" i="8"/>
  <c r="B14" i="8"/>
  <c r="B16" i="8"/>
  <c r="B21" i="8"/>
  <c r="B17" i="8"/>
  <c r="B34" i="8"/>
  <c r="B30" i="8"/>
  <c r="B35" i="8"/>
  <c r="B36" i="8"/>
  <c r="B33" i="8"/>
  <c r="B22" i="8"/>
  <c r="B23" i="8"/>
  <c r="B32" i="8"/>
  <c r="B26" i="8"/>
  <c r="B20" i="8"/>
  <c r="B29" i="8"/>
  <c r="J55" i="8" l="1"/>
  <c r="D45" i="9" s="1"/>
  <c r="C23" i="10"/>
  <c r="V23" i="10"/>
  <c r="D23" i="10"/>
  <c r="E5" i="10"/>
  <c r="F6" i="10" s="1"/>
  <c r="G7" i="10" s="1"/>
  <c r="H8" i="10" s="1"/>
  <c r="I9" i="10" s="1"/>
  <c r="J10" i="10" s="1"/>
  <c r="K11" i="10" s="1"/>
  <c r="L12" i="10" s="1"/>
  <c r="M13" i="10" s="1"/>
  <c r="N14" i="10" s="1"/>
  <c r="O15" i="10" s="1"/>
  <c r="P16" i="10" s="1"/>
  <c r="Q17" i="10" s="1"/>
  <c r="R18" i="10" s="1"/>
  <c r="AA55" i="8"/>
  <c r="U45" i="9" s="1"/>
  <c r="S55" i="8"/>
  <c r="M45" i="9" s="1"/>
  <c r="K55" i="8"/>
  <c r="E45" i="9" s="1"/>
  <c r="Z55" i="8"/>
  <c r="T45" i="9" s="1"/>
  <c r="R55" i="8"/>
  <c r="L45" i="9" s="1"/>
  <c r="W55" i="8"/>
  <c r="Q45" i="9" s="1"/>
  <c r="L55" i="8"/>
  <c r="F45" i="9" s="1"/>
  <c r="AD55" i="8"/>
  <c r="X45" i="9" s="1"/>
  <c r="W53" i="8"/>
  <c r="Q43" i="9" s="1"/>
  <c r="AD53" i="8"/>
  <c r="X43" i="9" s="1"/>
  <c r="S53" i="8"/>
  <c r="M43" i="9" s="1"/>
  <c r="K54" i="8"/>
  <c r="E44" i="9" s="1"/>
  <c r="AD54" i="8"/>
  <c r="X44" i="9" s="1"/>
  <c r="AD22" i="8"/>
  <c r="AD21" i="8"/>
  <c r="AD23" i="8"/>
  <c r="AD17" i="8"/>
  <c r="AD33" i="8"/>
  <c r="AD34" i="8"/>
  <c r="AD36" i="8"/>
  <c r="AD20" i="8"/>
  <c r="AD16" i="8"/>
  <c r="AD35" i="8"/>
  <c r="AD14" i="8"/>
  <c r="AD29" i="8"/>
  <c r="AD31" i="8"/>
  <c r="AD30" i="8"/>
  <c r="AD32" i="8"/>
  <c r="AC55" i="8"/>
  <c r="W45" i="9" s="1"/>
  <c r="Y55" i="8"/>
  <c r="S45" i="9" s="1"/>
  <c r="U55" i="8"/>
  <c r="O45" i="9" s="1"/>
  <c r="Q55" i="8"/>
  <c r="K45" i="9" s="1"/>
  <c r="M55" i="8"/>
  <c r="G45" i="9" s="1"/>
  <c r="AB55" i="8"/>
  <c r="V45" i="9" s="1"/>
  <c r="X55" i="8"/>
  <c r="R45" i="9" s="1"/>
  <c r="T55" i="8"/>
  <c r="N45" i="9" s="1"/>
  <c r="P55" i="8"/>
  <c r="J45" i="9" s="1"/>
  <c r="AA54" i="8"/>
  <c r="U44" i="9" s="1"/>
  <c r="W54" i="8"/>
  <c r="Q44" i="9" s="1"/>
  <c r="S54" i="8"/>
  <c r="M44" i="9" s="1"/>
  <c r="O54" i="8"/>
  <c r="I44" i="9" s="1"/>
  <c r="J15" i="8"/>
  <c r="Z15" i="8"/>
  <c r="V15" i="8"/>
  <c r="R15" i="8"/>
  <c r="Y42" i="8"/>
  <c r="AA44" i="8"/>
  <c r="D38" i="9"/>
  <c r="E19" i="2" s="1"/>
  <c r="O53" i="8"/>
  <c r="I43" i="9" s="1"/>
  <c r="I50" i="9" s="1"/>
  <c r="W44" i="8"/>
  <c r="U42" i="8"/>
  <c r="I8" i="8"/>
  <c r="C9" i="9" s="1"/>
  <c r="AA53" i="8"/>
  <c r="U43" i="9" s="1"/>
  <c r="K53" i="8"/>
  <c r="E43" i="9" s="1"/>
  <c r="S44" i="8"/>
  <c r="Q42" i="8"/>
  <c r="L53" i="8"/>
  <c r="F43" i="9" s="1"/>
  <c r="AC42" i="8"/>
  <c r="M42" i="8"/>
  <c r="J53" i="8"/>
  <c r="D43" i="9" s="1"/>
  <c r="Z53" i="8"/>
  <c r="T43" i="9" s="1"/>
  <c r="V53" i="8"/>
  <c r="P43" i="9" s="1"/>
  <c r="P50" i="9" s="1"/>
  <c r="R53" i="8"/>
  <c r="L43" i="9" s="1"/>
  <c r="N53" i="8"/>
  <c r="H43" i="9" s="1"/>
  <c r="H50" i="9" s="1"/>
  <c r="Z44" i="8"/>
  <c r="V44" i="8"/>
  <c r="R44" i="8"/>
  <c r="N44" i="8"/>
  <c r="AB42" i="8"/>
  <c r="X42" i="8"/>
  <c r="T42" i="8"/>
  <c r="P42" i="8"/>
  <c r="AC53" i="8"/>
  <c r="W43" i="9" s="1"/>
  <c r="Y53" i="8"/>
  <c r="S43" i="9" s="1"/>
  <c r="U53" i="8"/>
  <c r="O43" i="9" s="1"/>
  <c r="Q53" i="8"/>
  <c r="K43" i="9" s="1"/>
  <c r="M53" i="8"/>
  <c r="G43" i="9" s="1"/>
  <c r="AC44" i="8"/>
  <c r="Y44" i="8"/>
  <c r="U44" i="8"/>
  <c r="Q44" i="8"/>
  <c r="M44" i="8"/>
  <c r="AA42" i="8"/>
  <c r="W42" i="8"/>
  <c r="S42" i="8"/>
  <c r="O42" i="8"/>
  <c r="AB53" i="8"/>
  <c r="V43" i="9" s="1"/>
  <c r="X53" i="8"/>
  <c r="R43" i="9" s="1"/>
  <c r="T53" i="8"/>
  <c r="N43" i="9" s="1"/>
  <c r="P53" i="8"/>
  <c r="J43" i="9" s="1"/>
  <c r="AB44" i="8"/>
  <c r="X44" i="8"/>
  <c r="T44" i="8"/>
  <c r="P44" i="8"/>
  <c r="L44" i="8"/>
  <c r="Z42" i="8"/>
  <c r="V42" i="8"/>
  <c r="R42" i="8"/>
  <c r="N42" i="8"/>
  <c r="I4" i="8"/>
  <c r="C5" i="9" s="1"/>
  <c r="R36" i="8"/>
  <c r="AB36" i="8"/>
  <c r="K36" i="8"/>
  <c r="AC36" i="8"/>
  <c r="Z36" i="8"/>
  <c r="P36" i="8"/>
  <c r="V36" i="8"/>
  <c r="L36" i="8"/>
  <c r="N36" i="8"/>
  <c r="S36" i="8"/>
  <c r="X36" i="8"/>
  <c r="M36" i="8"/>
  <c r="J36" i="8"/>
  <c r="T36" i="8"/>
  <c r="U36" i="8"/>
  <c r="O36" i="8"/>
  <c r="AA36" i="8"/>
  <c r="Q36" i="8"/>
  <c r="Y36" i="8"/>
  <c r="W36" i="8"/>
  <c r="T33" i="8"/>
  <c r="AB33" i="8"/>
  <c r="X33" i="8"/>
  <c r="AA33" i="8"/>
  <c r="Z33" i="8"/>
  <c r="K33" i="8"/>
  <c r="O33" i="8"/>
  <c r="V33" i="8"/>
  <c r="W33" i="8"/>
  <c r="L33" i="8"/>
  <c r="R33" i="8"/>
  <c r="N33" i="8"/>
  <c r="Y33" i="8"/>
  <c r="Q33" i="8"/>
  <c r="J33" i="8"/>
  <c r="S33" i="8"/>
  <c r="P33" i="8"/>
  <c r="U33" i="8"/>
  <c r="AC33" i="8"/>
  <c r="M33" i="8"/>
  <c r="R31" i="8"/>
  <c r="V31" i="8"/>
  <c r="T31" i="8"/>
  <c r="J31" i="8"/>
  <c r="K31" i="8"/>
  <c r="D54" i="9" s="1"/>
  <c r="U31" i="8"/>
  <c r="W31" i="8"/>
  <c r="L31" i="8"/>
  <c r="AB31" i="8"/>
  <c r="AC31" i="8"/>
  <c r="Z31" i="8"/>
  <c r="S31" i="8"/>
  <c r="AA31" i="8"/>
  <c r="Q31" i="8"/>
  <c r="O31" i="8"/>
  <c r="X31" i="8"/>
  <c r="Y31" i="8"/>
  <c r="M31" i="8"/>
  <c r="N31" i="8"/>
  <c r="P31" i="8"/>
  <c r="AB34" i="8"/>
  <c r="O34" i="8"/>
  <c r="L34" i="8"/>
  <c r="Q34" i="8"/>
  <c r="S34" i="8"/>
  <c r="Y34" i="8"/>
  <c r="W34" i="8"/>
  <c r="M34" i="8"/>
  <c r="R34" i="8"/>
  <c r="U34" i="8"/>
  <c r="Z34" i="8"/>
  <c r="V34" i="8"/>
  <c r="X34" i="8"/>
  <c r="AA34" i="8"/>
  <c r="T34" i="8"/>
  <c r="AC34" i="8"/>
  <c r="N34" i="8"/>
  <c r="K34" i="8"/>
  <c r="D57" i="9" s="1"/>
  <c r="P34" i="8"/>
  <c r="J34" i="8"/>
  <c r="Q20" i="8"/>
  <c r="R20" i="8"/>
  <c r="AB20" i="8"/>
  <c r="AC20" i="8"/>
  <c r="K20" i="8"/>
  <c r="M20" i="8"/>
  <c r="Z20" i="8"/>
  <c r="T20" i="8"/>
  <c r="S20" i="8"/>
  <c r="L20" i="8"/>
  <c r="U20" i="8"/>
  <c r="AA20" i="8"/>
  <c r="J20" i="8"/>
  <c r="N20" i="8"/>
  <c r="P20" i="8"/>
  <c r="Y20" i="8"/>
  <c r="O20" i="8"/>
  <c r="V20" i="8"/>
  <c r="X20" i="8"/>
  <c r="W20" i="8"/>
  <c r="V14" i="8"/>
  <c r="L14" i="8"/>
  <c r="P14" i="8"/>
  <c r="AA14" i="8"/>
  <c r="S14" i="8"/>
  <c r="Q14" i="8"/>
  <c r="AC14" i="8"/>
  <c r="K14" i="8"/>
  <c r="U14" i="8"/>
  <c r="Y14" i="8"/>
  <c r="T14" i="8"/>
  <c r="AB14" i="8"/>
  <c r="J14" i="8"/>
  <c r="N14" i="8"/>
  <c r="R14" i="8"/>
  <c r="W14" i="8"/>
  <c r="M14" i="8"/>
  <c r="Z14" i="8"/>
  <c r="X14" i="8"/>
  <c r="O14" i="8"/>
  <c r="L16" i="8"/>
  <c r="S16" i="8"/>
  <c r="V16" i="8"/>
  <c r="Q16" i="8"/>
  <c r="J16" i="8"/>
  <c r="AA16" i="8"/>
  <c r="X16" i="8"/>
  <c r="K16" i="8"/>
  <c r="Z16" i="8"/>
  <c r="O16" i="8"/>
  <c r="M16" i="8"/>
  <c r="Y16" i="8"/>
  <c r="N16" i="8"/>
  <c r="U16" i="8"/>
  <c r="T16" i="8"/>
  <c r="P16" i="8"/>
  <c r="R16" i="8"/>
  <c r="AC16" i="8"/>
  <c r="W16" i="8"/>
  <c r="AB16" i="8"/>
  <c r="O23" i="8"/>
  <c r="Z23" i="8"/>
  <c r="U23" i="8"/>
  <c r="V23" i="8"/>
  <c r="K23" i="8"/>
  <c r="L23" i="8"/>
  <c r="J23" i="8"/>
  <c r="AC23" i="8"/>
  <c r="X23" i="8"/>
  <c r="W23" i="8"/>
  <c r="R23" i="8"/>
  <c r="P23" i="8"/>
  <c r="AB23" i="8"/>
  <c r="M23" i="8"/>
  <c r="N23" i="8"/>
  <c r="T23" i="8"/>
  <c r="AA23" i="8"/>
  <c r="Y23" i="8"/>
  <c r="S23" i="8"/>
  <c r="Q23" i="8"/>
  <c r="Q29" i="8"/>
  <c r="W29" i="8"/>
  <c r="AB29" i="8"/>
  <c r="V29" i="8"/>
  <c r="AC29" i="8"/>
  <c r="AA29" i="8"/>
  <c r="S29" i="8"/>
  <c r="R29" i="8"/>
  <c r="P29" i="8"/>
  <c r="N29" i="8"/>
  <c r="J29" i="8"/>
  <c r="O29" i="8"/>
  <c r="U29" i="8"/>
  <c r="X29" i="8"/>
  <c r="Y29" i="8"/>
  <c r="Z29" i="8"/>
  <c r="T29" i="8"/>
  <c r="K29" i="8"/>
  <c r="L29" i="8"/>
  <c r="M29" i="8"/>
  <c r="AA17" i="8"/>
  <c r="S17" i="8"/>
  <c r="AB17" i="8"/>
  <c r="Z17" i="8"/>
  <c r="U17" i="8"/>
  <c r="V17" i="8"/>
  <c r="O17" i="8"/>
  <c r="Y17" i="8"/>
  <c r="M17" i="8"/>
  <c r="J17" i="8"/>
  <c r="P17" i="8"/>
  <c r="W17" i="8"/>
  <c r="R17" i="8"/>
  <c r="T17" i="8"/>
  <c r="Q17" i="8"/>
  <c r="L17" i="8"/>
  <c r="AC17" i="8"/>
  <c r="K17" i="8"/>
  <c r="X17" i="8"/>
  <c r="N17" i="8"/>
  <c r="S35" i="8"/>
  <c r="T35" i="8"/>
  <c r="V35" i="8"/>
  <c r="X35" i="8"/>
  <c r="L35" i="8"/>
  <c r="J35" i="8"/>
  <c r="O35" i="8"/>
  <c r="Z35" i="8"/>
  <c r="M35" i="8"/>
  <c r="AC35" i="8"/>
  <c r="W35" i="8"/>
  <c r="Q35" i="8"/>
  <c r="P35" i="8"/>
  <c r="N35" i="8"/>
  <c r="K35" i="8"/>
  <c r="D58" i="9" s="1"/>
  <c r="AB35" i="8"/>
  <c r="R35" i="8"/>
  <c r="U35" i="8"/>
  <c r="AA35" i="8"/>
  <c r="Y35" i="8"/>
  <c r="J22" i="8"/>
  <c r="Q22" i="8"/>
  <c r="W22" i="8"/>
  <c r="AB22" i="8"/>
  <c r="X22" i="8"/>
  <c r="AA22" i="8"/>
  <c r="AC22" i="8"/>
  <c r="P22" i="8"/>
  <c r="Y22" i="8"/>
  <c r="M22" i="8"/>
  <c r="T22" i="8"/>
  <c r="S22" i="8"/>
  <c r="U22" i="8"/>
  <c r="K22" i="8"/>
  <c r="V22" i="8"/>
  <c r="N22" i="8"/>
  <c r="Z22" i="8"/>
  <c r="O22" i="8"/>
  <c r="L22" i="8"/>
  <c r="R22" i="8"/>
  <c r="AB21" i="8"/>
  <c r="X21" i="8"/>
  <c r="AC21" i="8"/>
  <c r="P21" i="8"/>
  <c r="M21" i="8"/>
  <c r="S21" i="8"/>
  <c r="R21" i="8"/>
  <c r="V21" i="8"/>
  <c r="Y21" i="8"/>
  <c r="K21" i="8"/>
  <c r="D16" i="9" s="1"/>
  <c r="N21" i="8"/>
  <c r="AA21" i="8"/>
  <c r="Z21" i="8"/>
  <c r="T21" i="8"/>
  <c r="U21" i="8"/>
  <c r="J21" i="8"/>
  <c r="O21" i="8"/>
  <c r="L21" i="8"/>
  <c r="W21" i="8"/>
  <c r="Q21" i="8"/>
  <c r="M30" i="8"/>
  <c r="S30" i="8"/>
  <c r="K30" i="8"/>
  <c r="D53" i="9" s="1"/>
  <c r="Q30" i="8"/>
  <c r="AC30" i="8"/>
  <c r="AA30" i="8"/>
  <c r="AB30" i="8"/>
  <c r="U30" i="8"/>
  <c r="R30" i="8"/>
  <c r="T30" i="8"/>
  <c r="O30" i="8"/>
  <c r="Z30" i="8"/>
  <c r="L30" i="8"/>
  <c r="N30" i="8"/>
  <c r="V30" i="8"/>
  <c r="J30" i="8"/>
  <c r="Y30" i="8"/>
  <c r="W30" i="8"/>
  <c r="X30" i="8"/>
  <c r="P30" i="8"/>
  <c r="P32" i="8"/>
  <c r="Z32" i="8"/>
  <c r="K32" i="8"/>
  <c r="W32" i="8"/>
  <c r="X32" i="8"/>
  <c r="AC32" i="8"/>
  <c r="R32" i="8"/>
  <c r="T32" i="8"/>
  <c r="L32" i="8"/>
  <c r="O32" i="8"/>
  <c r="J32" i="8"/>
  <c r="V32" i="8"/>
  <c r="AB32" i="8"/>
  <c r="S32" i="8"/>
  <c r="U32" i="8"/>
  <c r="M32" i="8"/>
  <c r="Y32" i="8"/>
  <c r="AA32" i="8"/>
  <c r="Q32" i="8"/>
  <c r="N32" i="8"/>
  <c r="K23" i="10" l="1"/>
  <c r="P23" i="10"/>
  <c r="H23" i="10"/>
  <c r="O23" i="10"/>
  <c r="E23" i="10"/>
  <c r="N23" i="10"/>
  <c r="L23" i="10"/>
  <c r="J23" i="10"/>
  <c r="M23" i="10"/>
  <c r="I23" i="10"/>
  <c r="R23" i="10"/>
  <c r="S19" i="10"/>
  <c r="G23" i="10"/>
  <c r="F23" i="10"/>
  <c r="Q23" i="10"/>
  <c r="D11" i="2"/>
  <c r="D55" i="9"/>
  <c r="N50" i="9"/>
  <c r="S50" i="9"/>
  <c r="K50" i="9"/>
  <c r="T50" i="9"/>
  <c r="F50" i="9"/>
  <c r="E22" i="2"/>
  <c r="D37" i="9"/>
  <c r="E18" i="2" s="1"/>
  <c r="E70" i="2" s="1"/>
  <c r="U50" i="9"/>
  <c r="J50" i="9"/>
  <c r="R50" i="9"/>
  <c r="O50" i="9"/>
  <c r="Z44" i="9"/>
  <c r="Q50" i="9"/>
  <c r="G50" i="9"/>
  <c r="W50" i="9"/>
  <c r="V50" i="9"/>
  <c r="E50" i="9"/>
  <c r="C13" i="9"/>
  <c r="C66" i="9"/>
  <c r="D66" i="9" s="1"/>
  <c r="Z45" i="9"/>
  <c r="D52" i="9"/>
  <c r="Z43" i="9"/>
  <c r="X50" i="9"/>
  <c r="D11" i="9"/>
  <c r="D33" i="9"/>
  <c r="E14" i="2" s="1"/>
  <c r="D18" i="9"/>
  <c r="D15" i="9"/>
  <c r="D17" i="9"/>
  <c r="D6" i="9" s="1"/>
  <c r="E5" i="2" s="1"/>
  <c r="D3" i="2"/>
  <c r="D53" i="2" l="1"/>
  <c r="D59" i="2" s="1"/>
  <c r="C52" i="2"/>
  <c r="D52" i="2"/>
  <c r="D58" i="2" s="1"/>
  <c r="S23" i="10"/>
  <c r="T20" i="10"/>
  <c r="D35" i="9"/>
  <c r="E16" i="2" s="1"/>
  <c r="E21" i="2"/>
  <c r="C53" i="2"/>
  <c r="C49" i="2"/>
  <c r="D49" i="2"/>
  <c r="D55" i="2" s="1"/>
  <c r="D50" i="2"/>
  <c r="D56" i="2" s="1"/>
  <c r="C51" i="2"/>
  <c r="D51" i="2"/>
  <c r="D57" i="2" s="1"/>
  <c r="C50" i="2"/>
  <c r="E66" i="9"/>
  <c r="D67" i="9"/>
  <c r="E57" i="9"/>
  <c r="E37" i="9" s="1"/>
  <c r="E9" i="2"/>
  <c r="E64" i="2" s="1"/>
  <c r="D10" i="9"/>
  <c r="D32" i="9"/>
  <c r="D69" i="9" s="1"/>
  <c r="E16" i="9"/>
  <c r="D34" i="9"/>
  <c r="D50" i="9"/>
  <c r="D20" i="9"/>
  <c r="E12" i="2" s="1"/>
  <c r="D70" i="9" l="1"/>
  <c r="U21" i="10"/>
  <c r="U23" i="10" s="1"/>
  <c r="T23" i="10"/>
  <c r="E13" i="2"/>
  <c r="E68" i="2" s="1"/>
  <c r="J91" i="8"/>
  <c r="D8" i="9"/>
  <c r="E7" i="2" s="1"/>
  <c r="F66" i="9"/>
  <c r="E67" i="9"/>
  <c r="D7" i="9"/>
  <c r="E6" i="2" s="1"/>
  <c r="E15" i="2"/>
  <c r="E69" i="2" s="1"/>
  <c r="D26" i="9"/>
  <c r="E63" i="2" l="1"/>
  <c r="E18" i="9"/>
  <c r="E54" i="9"/>
  <c r="G66" i="9"/>
  <c r="F67" i="9"/>
  <c r="E17" i="9"/>
  <c r="E6" i="9" s="1"/>
  <c r="E53" i="9"/>
  <c r="E33" i="9" s="1"/>
  <c r="D56" i="9"/>
  <c r="D29" i="9"/>
  <c r="H66" i="9" l="1"/>
  <c r="G67" i="9"/>
  <c r="E34" i="9"/>
  <c r="D36" i="9"/>
  <c r="D30" i="9"/>
  <c r="D59" i="9"/>
  <c r="D60" i="9" s="1"/>
  <c r="D39" i="9"/>
  <c r="E20" i="2" s="1"/>
  <c r="E7" i="9" l="1"/>
  <c r="I66" i="9"/>
  <c r="H67" i="9"/>
  <c r="E17" i="2"/>
  <c r="E30" i="2"/>
  <c r="D9" i="9"/>
  <c r="E8" i="2" s="1"/>
  <c r="E23" i="2"/>
  <c r="F16" i="9"/>
  <c r="D12" i="9"/>
  <c r="E10" i="2" s="1"/>
  <c r="E71" i="2" l="1"/>
  <c r="E72" i="2" s="1"/>
  <c r="J66" i="9"/>
  <c r="I67" i="9"/>
  <c r="E65" i="2"/>
  <c r="E55" i="9"/>
  <c r="E35" i="9" s="1"/>
  <c r="F53" i="9"/>
  <c r="F33" i="9" s="1"/>
  <c r="F17" i="9"/>
  <c r="E58" i="9"/>
  <c r="E38" i="9"/>
  <c r="E10" i="9"/>
  <c r="E70" i="9" l="1"/>
  <c r="K66" i="9"/>
  <c r="J67" i="9"/>
  <c r="E11" i="9"/>
  <c r="F57" i="9" s="1"/>
  <c r="E8" i="9"/>
  <c r="L66" i="9" l="1"/>
  <c r="K67" i="9"/>
  <c r="F37" i="9"/>
  <c r="F54" i="9"/>
  <c r="F18" i="9"/>
  <c r="M66" i="9" l="1"/>
  <c r="L67" i="9"/>
  <c r="F34" i="9"/>
  <c r="F10" i="9"/>
  <c r="N66" i="9" l="1"/>
  <c r="M67" i="9"/>
  <c r="F6" i="9"/>
  <c r="O66" i="9" l="1"/>
  <c r="N67" i="9"/>
  <c r="G16" i="9"/>
  <c r="P66" i="9" l="1"/>
  <c r="O67" i="9"/>
  <c r="L50" i="9"/>
  <c r="Q66" i="9" l="1"/>
  <c r="P67" i="9"/>
  <c r="M50" i="9"/>
  <c r="Q67" i="9" l="1"/>
  <c r="R66" i="9"/>
  <c r="F7" i="9"/>
  <c r="S66" i="9" l="1"/>
  <c r="R67" i="9"/>
  <c r="G17" i="9"/>
  <c r="G53" i="9"/>
  <c r="G33" i="9" s="1"/>
  <c r="T66" i="9" l="1"/>
  <c r="S67" i="9"/>
  <c r="G6" i="9"/>
  <c r="T67" i="9" l="1"/>
  <c r="U66" i="9"/>
  <c r="H16" i="9"/>
  <c r="D40" i="9"/>
  <c r="D5" i="9"/>
  <c r="E11" i="2" s="1"/>
  <c r="V66" i="9" l="1"/>
  <c r="U67" i="9"/>
  <c r="J88" i="8"/>
  <c r="E76" i="2" s="1"/>
  <c r="E4" i="2"/>
  <c r="E62" i="2" s="1"/>
  <c r="E52" i="2"/>
  <c r="E58" i="2" s="1"/>
  <c r="E29" i="2"/>
  <c r="D62" i="9"/>
  <c r="E3" i="2"/>
  <c r="E66" i="2" s="1"/>
  <c r="E52" i="9"/>
  <c r="D13" i="9"/>
  <c r="E15" i="9"/>
  <c r="D64" i="9"/>
  <c r="J89" i="8" l="1"/>
  <c r="E77" i="2"/>
  <c r="W66" i="9"/>
  <c r="V67" i="9"/>
  <c r="E50" i="2"/>
  <c r="E56" i="2" s="1"/>
  <c r="E27" i="2"/>
  <c r="E53" i="2"/>
  <c r="E59" i="2" s="1"/>
  <c r="E51" i="2"/>
  <c r="E57" i="2" s="1"/>
  <c r="E49" i="2"/>
  <c r="E55" i="2" s="1"/>
  <c r="D3" i="9"/>
  <c r="E24" i="2"/>
  <c r="E73" i="2" s="1"/>
  <c r="E25" i="2"/>
  <c r="E74" i="2" s="1"/>
  <c r="E28" i="2"/>
  <c r="E67" i="2" s="1"/>
  <c r="E32" i="9"/>
  <c r="E20" i="9"/>
  <c r="K91" i="8" l="1"/>
  <c r="E69" i="9"/>
  <c r="X66" i="9"/>
  <c r="X67" i="9" s="1"/>
  <c r="W67" i="9"/>
  <c r="E5" i="9"/>
  <c r="E26" i="9"/>
  <c r="F15" i="9" l="1"/>
  <c r="F20" i="9" s="1"/>
  <c r="F52" i="9"/>
  <c r="E56" i="9"/>
  <c r="E36" i="9" s="1"/>
  <c r="E29" i="9"/>
  <c r="E30" i="9" s="1"/>
  <c r="F26" i="9" l="1"/>
  <c r="F56" i="9" s="1"/>
  <c r="F32" i="9"/>
  <c r="F69" i="9" s="1"/>
  <c r="E39" i="9"/>
  <c r="E59" i="9"/>
  <c r="E60" i="9" s="1"/>
  <c r="F5" i="9" l="1"/>
  <c r="G15" i="9" s="1"/>
  <c r="L91" i="8"/>
  <c r="F29" i="9"/>
  <c r="F59" i="9" s="1"/>
  <c r="F36" i="9"/>
  <c r="E12" i="9"/>
  <c r="F38" i="9" s="1"/>
  <c r="E40" i="9"/>
  <c r="E62" i="9" s="1"/>
  <c r="E9" i="9"/>
  <c r="G52" i="9" l="1"/>
  <c r="K88" i="8"/>
  <c r="K89" i="8" s="1"/>
  <c r="F39" i="9"/>
  <c r="F12" i="9" s="1"/>
  <c r="F30" i="9"/>
  <c r="F58" i="9"/>
  <c r="F9" i="9"/>
  <c r="F55" i="9"/>
  <c r="E13" i="9"/>
  <c r="E3" i="9" s="1"/>
  <c r="E64" i="9"/>
  <c r="G58" i="9" l="1"/>
  <c r="G38" i="9"/>
  <c r="F11" i="9"/>
  <c r="G57" i="9" s="1"/>
  <c r="F35" i="9"/>
  <c r="F70" i="9" s="1"/>
  <c r="F60" i="9"/>
  <c r="G55" i="9"/>
  <c r="G37" i="9" l="1"/>
  <c r="G11" i="9"/>
  <c r="F40" i="9"/>
  <c r="F8" i="9"/>
  <c r="L88" i="8" s="1"/>
  <c r="L89" i="8" s="1"/>
  <c r="G10" i="9" l="1"/>
  <c r="H57" i="9"/>
  <c r="H37" i="9" s="1"/>
  <c r="H10" i="9" s="1"/>
  <c r="F62" i="9"/>
  <c r="F13" i="9"/>
  <c r="F3" i="9" s="1"/>
  <c r="G18" i="9"/>
  <c r="G32" i="9" s="1"/>
  <c r="G54" i="9"/>
  <c r="F64" i="9"/>
  <c r="M91" i="8" l="1"/>
  <c r="G69" i="9"/>
  <c r="F18" i="2"/>
  <c r="G35" i="9"/>
  <c r="G34" i="9"/>
  <c r="G5" i="9"/>
  <c r="G20" i="9"/>
  <c r="G70" i="9" l="1"/>
  <c r="G26" i="9"/>
  <c r="G29" i="9" s="1"/>
  <c r="G30" i="9" s="1"/>
  <c r="G8" i="9"/>
  <c r="G7" i="9"/>
  <c r="H52" i="9"/>
  <c r="H15" i="9"/>
  <c r="H54" i="9" l="1"/>
  <c r="H18" i="9"/>
  <c r="G56" i="9"/>
  <c r="H53" i="9"/>
  <c r="H17" i="9"/>
  <c r="G59" i="9"/>
  <c r="G39" i="9"/>
  <c r="H32" i="9" l="1"/>
  <c r="G36" i="9"/>
  <c r="G60" i="9"/>
  <c r="H34" i="9"/>
  <c r="H6" i="9"/>
  <c r="F5" i="2" s="1"/>
  <c r="G12" i="9"/>
  <c r="H20" i="9"/>
  <c r="F12" i="2" s="1"/>
  <c r="H33" i="9"/>
  <c r="H7" i="9" l="1"/>
  <c r="F6" i="2" s="1"/>
  <c r="H69" i="9"/>
  <c r="H5" i="9"/>
  <c r="F4" i="2" s="1"/>
  <c r="F62" i="2" s="1"/>
  <c r="N91" i="8"/>
  <c r="G9" i="9"/>
  <c r="H55" i="9" s="1"/>
  <c r="H38" i="9"/>
  <c r="F19" i="2" s="1"/>
  <c r="F70" i="2" s="1"/>
  <c r="I16" i="9"/>
  <c r="G40" i="9"/>
  <c r="F15" i="2"/>
  <c r="H26" i="9"/>
  <c r="H58" i="9"/>
  <c r="F13" i="2"/>
  <c r="F14" i="2"/>
  <c r="F68" i="2" l="1"/>
  <c r="I53" i="9"/>
  <c r="I33" i="9" s="1"/>
  <c r="I17" i="9"/>
  <c r="I6" i="9" s="1"/>
  <c r="J16" i="9" s="1"/>
  <c r="Z16" i="9" s="1"/>
  <c r="I15" i="9"/>
  <c r="I52" i="9"/>
  <c r="F29" i="2"/>
  <c r="G13" i="9"/>
  <c r="G3" i="9" s="1"/>
  <c r="G62" i="9"/>
  <c r="M88" i="8"/>
  <c r="M89" i="8" s="1"/>
  <c r="H11" i="9"/>
  <c r="G64" i="9"/>
  <c r="H56" i="9"/>
  <c r="H36" i="9" s="1"/>
  <c r="H29" i="9"/>
  <c r="H59" i="9" s="1"/>
  <c r="F22" i="2"/>
  <c r="H35" i="9"/>
  <c r="H70" i="9" s="1"/>
  <c r="F21" i="2"/>
  <c r="I57" i="9" l="1"/>
  <c r="I37" i="9" s="1"/>
  <c r="F9" i="2"/>
  <c r="F64" i="2" s="1"/>
  <c r="H30" i="9"/>
  <c r="H39" i="9"/>
  <c r="H60" i="9"/>
  <c r="H9" i="9"/>
  <c r="F8" i="2" s="1"/>
  <c r="F30" i="2"/>
  <c r="F17" i="2"/>
  <c r="F16" i="2"/>
  <c r="F69" i="2" s="1"/>
  <c r="H8" i="9"/>
  <c r="F7" i="2" s="1"/>
  <c r="F63" i="2" s="1"/>
  <c r="F23" i="2"/>
  <c r="I55" i="9" l="1"/>
  <c r="H12" i="9"/>
  <c r="F10" i="2" s="1"/>
  <c r="F65" i="2" s="1"/>
  <c r="H40" i="9"/>
  <c r="H62" i="9" s="1"/>
  <c r="F20" i="2"/>
  <c r="F71" i="2" s="1"/>
  <c r="F72" i="2" s="1"/>
  <c r="I10" i="9"/>
  <c r="I18" i="9"/>
  <c r="I32" i="9" s="1"/>
  <c r="I54" i="9"/>
  <c r="O91" i="8" l="1"/>
  <c r="I69" i="9"/>
  <c r="I38" i="9"/>
  <c r="N88" i="8"/>
  <c r="F76" i="2" s="1"/>
  <c r="I58" i="9"/>
  <c r="F3" i="2"/>
  <c r="H13" i="9"/>
  <c r="F11" i="2"/>
  <c r="F52" i="2" s="1"/>
  <c r="F58" i="2" s="1"/>
  <c r="H64" i="9"/>
  <c r="I35" i="9"/>
  <c r="I8" i="9" s="1"/>
  <c r="J54" i="9" s="1"/>
  <c r="Z54" i="9" s="1"/>
  <c r="I5" i="9"/>
  <c r="I20" i="9"/>
  <c r="I26" i="9" s="1"/>
  <c r="I34" i="9"/>
  <c r="I70" i="9" l="1"/>
  <c r="N89" i="8"/>
  <c r="F77" i="2"/>
  <c r="F50" i="2"/>
  <c r="F56" i="2" s="1"/>
  <c r="F28" i="2"/>
  <c r="F67" i="2" s="1"/>
  <c r="F66" i="2"/>
  <c r="F51" i="2"/>
  <c r="F57" i="2" s="1"/>
  <c r="F53" i="2"/>
  <c r="F59" i="2" s="1"/>
  <c r="F49" i="2"/>
  <c r="F55" i="2" s="1"/>
  <c r="I11" i="9"/>
  <c r="J57" i="9" s="1"/>
  <c r="Z57" i="9" s="1"/>
  <c r="H3" i="9"/>
  <c r="F24" i="2"/>
  <c r="F73" i="2" s="1"/>
  <c r="F27" i="2"/>
  <c r="F25" i="2"/>
  <c r="F74" i="2" s="1"/>
  <c r="J18" i="9"/>
  <c r="Z19" i="9" s="1"/>
  <c r="I7" i="9"/>
  <c r="J52" i="9"/>
  <c r="J15" i="9"/>
  <c r="I56" i="9"/>
  <c r="I36" i="9" s="1"/>
  <c r="I29" i="9"/>
  <c r="I39" i="9" l="1"/>
  <c r="I59" i="9"/>
  <c r="I60" i="9" s="1"/>
  <c r="Z52" i="9"/>
  <c r="J17" i="9"/>
  <c r="J32" i="9" s="1"/>
  <c r="J53" i="9"/>
  <c r="J37" i="9"/>
  <c r="I30" i="9"/>
  <c r="Z15" i="9"/>
  <c r="P91" i="8" l="1"/>
  <c r="Z32" i="9"/>
  <c r="J34" i="9"/>
  <c r="I12" i="9"/>
  <c r="J58" i="9" s="1"/>
  <c r="Z58" i="9" s="1"/>
  <c r="Z37" i="9"/>
  <c r="J10" i="9"/>
  <c r="Z17" i="9"/>
  <c r="J5" i="9"/>
  <c r="I40" i="9"/>
  <c r="I9" i="9"/>
  <c r="J20" i="9"/>
  <c r="J6" i="9"/>
  <c r="J33" i="9"/>
  <c r="J69" i="9" s="1"/>
  <c r="Z53" i="9"/>
  <c r="J7" i="9" l="1"/>
  <c r="K53" i="9" s="1"/>
  <c r="O88" i="8"/>
  <c r="O89" i="8" s="1"/>
  <c r="J38" i="9"/>
  <c r="Z38" i="9" s="1"/>
  <c r="K16" i="9"/>
  <c r="K52" i="9"/>
  <c r="K15" i="9"/>
  <c r="J26" i="9"/>
  <c r="Z33" i="9"/>
  <c r="J55" i="9"/>
  <c r="I13" i="9"/>
  <c r="I3" i="9" s="1"/>
  <c r="I64" i="9"/>
  <c r="I62" i="9"/>
  <c r="K33" i="9" l="1"/>
  <c r="K17" i="9"/>
  <c r="K6" i="9" s="1"/>
  <c r="L16" i="9" s="1"/>
  <c r="J11" i="9"/>
  <c r="K57" i="9" s="1"/>
  <c r="K37" i="9" s="1"/>
  <c r="K10" i="9" s="1"/>
  <c r="Z55" i="9"/>
  <c r="J35" i="9"/>
  <c r="J70" i="9" s="1"/>
  <c r="J29" i="9"/>
  <c r="J30" i="9" s="1"/>
  <c r="J56" i="9"/>
  <c r="J36" i="9" s="1"/>
  <c r="Z26" i="9"/>
  <c r="Z56" i="9" l="1"/>
  <c r="J9" i="9"/>
  <c r="J8" i="9"/>
  <c r="J59" i="9"/>
  <c r="J60" i="9" s="1"/>
  <c r="J39" i="9"/>
  <c r="Z39" i="9" s="1"/>
  <c r="Z29" i="9"/>
  <c r="K55" i="9" l="1"/>
  <c r="Z59" i="9"/>
  <c r="D2" i="9" s="1"/>
  <c r="F33" i="2" s="1"/>
  <c r="J12" i="9"/>
  <c r="J13" i="9" s="1"/>
  <c r="K54" i="9"/>
  <c r="K18" i="9"/>
  <c r="K32" i="9" s="1"/>
  <c r="J40" i="9"/>
  <c r="Q91" i="8" l="1"/>
  <c r="K69" i="9"/>
  <c r="P88" i="8"/>
  <c r="P89" i="8" s="1"/>
  <c r="K35" i="9"/>
  <c r="K8" i="9" s="1"/>
  <c r="L54" i="9" s="1"/>
  <c r="C2" i="9"/>
  <c r="E33" i="2" s="1"/>
  <c r="J64" i="9"/>
  <c r="J62" i="9"/>
  <c r="E2" i="9" s="1"/>
  <c r="G33" i="2" s="1"/>
  <c r="K5" i="9"/>
  <c r="K20" i="9"/>
  <c r="K26" i="9" s="1"/>
  <c r="J3" i="9"/>
  <c r="K34" i="9"/>
  <c r="K38" i="9"/>
  <c r="K58" i="9"/>
  <c r="K70" i="9" l="1"/>
  <c r="L18" i="9"/>
  <c r="K11" i="9"/>
  <c r="L57" i="9" s="1"/>
  <c r="L37" i="9" s="1"/>
  <c r="L10" i="9" s="1"/>
  <c r="L52" i="9"/>
  <c r="L15" i="9"/>
  <c r="K7" i="9"/>
  <c r="K56" i="9"/>
  <c r="K36" i="9" s="1"/>
  <c r="K29" i="9"/>
  <c r="L53" i="9" l="1"/>
  <c r="L33" i="9" s="1"/>
  <c r="L17" i="9"/>
  <c r="L32" i="9" s="1"/>
  <c r="K59" i="9"/>
  <c r="K60" i="9" s="1"/>
  <c r="K39" i="9"/>
  <c r="K30" i="9"/>
  <c r="R91" i="8" l="1"/>
  <c r="L69" i="9"/>
  <c r="L5" i="9"/>
  <c r="K12" i="9"/>
  <c r="L20" i="9"/>
  <c r="L6" i="9"/>
  <c r="L34" i="9"/>
  <c r="K40" i="9"/>
  <c r="K9" i="9"/>
  <c r="L7" i="9" l="1"/>
  <c r="M53" i="9" s="1"/>
  <c r="Q88" i="8"/>
  <c r="Q89" i="8" s="1"/>
  <c r="M15" i="9"/>
  <c r="M52" i="9"/>
  <c r="M16" i="9"/>
  <c r="L55" i="9"/>
  <c r="K13" i="9"/>
  <c r="K3" i="9" s="1"/>
  <c r="L26" i="9"/>
  <c r="K64" i="9"/>
  <c r="L38" i="9"/>
  <c r="L58" i="9"/>
  <c r="K62" i="9"/>
  <c r="M17" i="9" l="1"/>
  <c r="M6" i="9" s="1"/>
  <c r="G5" i="2" s="1"/>
  <c r="L11" i="9"/>
  <c r="M57" i="9" s="1"/>
  <c r="M37" i="9" s="1"/>
  <c r="M10" i="9" s="1"/>
  <c r="M33" i="9"/>
  <c r="G14" i="2" s="1"/>
  <c r="L56" i="9"/>
  <c r="L36" i="9" s="1"/>
  <c r="L29" i="9"/>
  <c r="L35" i="9"/>
  <c r="L70" i="9" s="1"/>
  <c r="N16" i="9" l="1"/>
  <c r="L9" i="9"/>
  <c r="M55" i="9" s="1"/>
  <c r="L59" i="9"/>
  <c r="L60" i="9" s="1"/>
  <c r="L39" i="9"/>
  <c r="G18" i="2"/>
  <c r="L8" i="9"/>
  <c r="L30" i="9"/>
  <c r="L12" i="9" l="1"/>
  <c r="M58" i="9" s="1"/>
  <c r="G22" i="2" s="1"/>
  <c r="L40" i="9"/>
  <c r="M54" i="9"/>
  <c r="M18" i="9"/>
  <c r="M32" i="9" s="1"/>
  <c r="S91" i="8" l="1"/>
  <c r="M69" i="9"/>
  <c r="R88" i="8"/>
  <c r="R89" i="8" s="1"/>
  <c r="G13" i="2"/>
  <c r="G68" i="2" s="1"/>
  <c r="L13" i="9"/>
  <c r="L3" i="9" s="1"/>
  <c r="M38" i="9"/>
  <c r="M11" i="9" s="1"/>
  <c r="G9" i="2" s="1"/>
  <c r="G64" i="2" s="1"/>
  <c r="L64" i="9"/>
  <c r="M35" i="9"/>
  <c r="M8" i="9" s="1"/>
  <c r="G7" i="2" s="1"/>
  <c r="L62" i="9"/>
  <c r="M34" i="9"/>
  <c r="G21" i="2"/>
  <c r="M20" i="9"/>
  <c r="M5" i="9"/>
  <c r="G4" i="2" s="1"/>
  <c r="G62" i="2" s="1"/>
  <c r="M70" i="9" l="1"/>
  <c r="N57" i="9"/>
  <c r="N37" i="9" s="1"/>
  <c r="N10" i="9" s="1"/>
  <c r="G19" i="2"/>
  <c r="G70" i="2" s="1"/>
  <c r="G16" i="2"/>
  <c r="G12" i="2"/>
  <c r="M26" i="9"/>
  <c r="N18" i="9"/>
  <c r="N54" i="9"/>
  <c r="G29" i="2"/>
  <c r="N52" i="9"/>
  <c r="N15" i="9"/>
  <c r="G15" i="2"/>
  <c r="M7" i="9"/>
  <c r="G6" i="2" s="1"/>
  <c r="G63" i="2" s="1"/>
  <c r="G69" i="2" l="1"/>
  <c r="N17" i="9"/>
  <c r="N32" i="9" s="1"/>
  <c r="T91" i="8" s="1"/>
  <c r="N53" i="9"/>
  <c r="N33" i="9" s="1"/>
  <c r="M56" i="9"/>
  <c r="M36" i="9" s="1"/>
  <c r="M29" i="9"/>
  <c r="M30" i="9" s="1"/>
  <c r="N20" i="9" l="1"/>
  <c r="N26" i="9" s="1"/>
  <c r="N6" i="9"/>
  <c r="O16" i="9" s="1"/>
  <c r="N34" i="9"/>
  <c r="N7" i="9" s="1"/>
  <c r="O53" i="9" s="1"/>
  <c r="N5" i="9"/>
  <c r="M59" i="9"/>
  <c r="M39" i="9"/>
  <c r="G20" i="2" s="1"/>
  <c r="N56" i="9" l="1"/>
  <c r="N36" i="9" s="1"/>
  <c r="N29" i="9"/>
  <c r="N59" i="9" s="1"/>
  <c r="O17" i="9"/>
  <c r="O6" i="9" s="1"/>
  <c r="P16" i="9" s="1"/>
  <c r="O52" i="9"/>
  <c r="O15" i="9"/>
  <c r="M12" i="9"/>
  <c r="G10" i="2" s="1"/>
  <c r="G30" i="2"/>
  <c r="G17" i="2"/>
  <c r="M40" i="9"/>
  <c r="M62" i="9" s="1"/>
  <c r="M9" i="9"/>
  <c r="G8" i="2" s="1"/>
  <c r="O33" i="9"/>
  <c r="G23" i="2"/>
  <c r="M60" i="9"/>
  <c r="G71" i="2" l="1"/>
  <c r="G72" i="2" s="1"/>
  <c r="G65" i="2"/>
  <c r="S88" i="8"/>
  <c r="G76" i="2" s="1"/>
  <c r="N58" i="9"/>
  <c r="N30" i="9"/>
  <c r="N39" i="9"/>
  <c r="N12" i="9" s="1"/>
  <c r="O38" i="9" s="1"/>
  <c r="N38" i="9"/>
  <c r="N9" i="9"/>
  <c r="N55" i="9"/>
  <c r="G3" i="2"/>
  <c r="M13" i="9"/>
  <c r="M3" i="9" s="1"/>
  <c r="G11" i="2"/>
  <c r="G52" i="2" s="1"/>
  <c r="G58" i="2" s="1"/>
  <c r="M64" i="9"/>
  <c r="S89" i="8" l="1"/>
  <c r="G77" i="2"/>
  <c r="G50" i="2"/>
  <c r="G56" i="2" s="1"/>
  <c r="G28" i="2"/>
  <c r="G67" i="2" s="1"/>
  <c r="G66" i="2"/>
  <c r="G27" i="2"/>
  <c r="G53" i="2"/>
  <c r="G59" i="2" s="1"/>
  <c r="G51" i="2"/>
  <c r="G57" i="2" s="1"/>
  <c r="G49" i="2"/>
  <c r="G55" i="2" s="1"/>
  <c r="N11" i="9"/>
  <c r="O57" i="9" s="1"/>
  <c r="O37" i="9" s="1"/>
  <c r="O10" i="9" s="1"/>
  <c r="G24" i="2"/>
  <c r="G73" i="2" s="1"/>
  <c r="O58" i="9"/>
  <c r="O11" i="9" s="1"/>
  <c r="P57" i="9" s="1"/>
  <c r="P37" i="9" s="1"/>
  <c r="P10" i="9" s="1"/>
  <c r="N35" i="9"/>
  <c r="N60" i="9"/>
  <c r="O55" i="9"/>
  <c r="G25" i="2"/>
  <c r="G74" i="2" s="1"/>
  <c r="N40" i="9" l="1"/>
  <c r="N62" i="9" s="1"/>
  <c r="N8" i="9"/>
  <c r="T88" i="8" s="1"/>
  <c r="T89" i="8" s="1"/>
  <c r="N64" i="9" l="1"/>
  <c r="O54" i="9"/>
  <c r="O18" i="9"/>
  <c r="O32" i="9" s="1"/>
  <c r="U91" i="8" s="1"/>
  <c r="N13" i="9"/>
  <c r="N3" i="9" s="1"/>
  <c r="O35" i="9" l="1"/>
  <c r="O8" i="9" s="1"/>
  <c r="P54" i="9" s="1"/>
  <c r="O5" i="9"/>
  <c r="O34" i="9"/>
  <c r="O7" i="9" s="1"/>
  <c r="O20" i="9"/>
  <c r="O26" i="9" s="1"/>
  <c r="P18" i="9" l="1"/>
  <c r="P17" i="9"/>
  <c r="P34" i="9" s="1"/>
  <c r="P53" i="9"/>
  <c r="P33" i="9" s="1"/>
  <c r="P52" i="9"/>
  <c r="P15" i="9"/>
  <c r="O56" i="9"/>
  <c r="O36" i="9" s="1"/>
  <c r="O29" i="9"/>
  <c r="O30" i="9" s="1"/>
  <c r="P32" i="9" l="1"/>
  <c r="P7" i="9"/>
  <c r="Q53" i="9" s="1"/>
  <c r="P20" i="9"/>
  <c r="P26" i="9" s="1"/>
  <c r="P6" i="9"/>
  <c r="O59" i="9"/>
  <c r="O60" i="9" s="1"/>
  <c r="O39" i="9"/>
  <c r="P5" i="9" l="1"/>
  <c r="Q52" i="9" s="1"/>
  <c r="V91" i="8"/>
  <c r="Q17" i="9"/>
  <c r="Q6" i="9" s="1"/>
  <c r="R16" i="9" s="1"/>
  <c r="O12" i="9"/>
  <c r="P38" i="9" s="1"/>
  <c r="Q16" i="9"/>
  <c r="Q33" i="9" s="1"/>
  <c r="P56" i="9"/>
  <c r="P36" i="9" s="1"/>
  <c r="P29" i="9"/>
  <c r="P30" i="9" s="1"/>
  <c r="O40" i="9"/>
  <c r="O9" i="9"/>
  <c r="Q15" i="9" l="1"/>
  <c r="U88" i="8"/>
  <c r="U89" i="8" s="1"/>
  <c r="P58" i="9"/>
  <c r="P11" i="9" s="1"/>
  <c r="Q57" i="9" s="1"/>
  <c r="Q37" i="9" s="1"/>
  <c r="Q10" i="9" s="1"/>
  <c r="O64" i="9"/>
  <c r="O62" i="9"/>
  <c r="P9" i="9"/>
  <c r="P55" i="9"/>
  <c r="O13" i="9"/>
  <c r="O3" i="9" s="1"/>
  <c r="P59" i="9"/>
  <c r="P39" i="9"/>
  <c r="P12" i="9" l="1"/>
  <c r="Q38" i="9" s="1"/>
  <c r="Q55" i="9"/>
  <c r="P35" i="9"/>
  <c r="P60" i="9"/>
  <c r="Q58" i="9" l="1"/>
  <c r="Q11" i="9" s="1"/>
  <c r="R57" i="9" s="1"/>
  <c r="R37" i="9" s="1"/>
  <c r="R10" i="9" s="1"/>
  <c r="P40" i="9"/>
  <c r="P62" i="9" s="1"/>
  <c r="P8" i="9"/>
  <c r="V88" i="8" s="1"/>
  <c r="V89" i="8" s="1"/>
  <c r="H18" i="2" l="1"/>
  <c r="Q18" i="9"/>
  <c r="Q32" i="9" s="1"/>
  <c r="W91" i="8" s="1"/>
  <c r="Q54" i="9"/>
  <c r="P13" i="9"/>
  <c r="P3" i="9" s="1"/>
  <c r="P64" i="9"/>
  <c r="Q34" i="9" l="1"/>
  <c r="Q5" i="9"/>
  <c r="Q20" i="9"/>
  <c r="Q26" i="9" s="1"/>
  <c r="Q35" i="9"/>
  <c r="Q8" i="9" s="1"/>
  <c r="R15" i="9" l="1"/>
  <c r="R52" i="9"/>
  <c r="R18" i="9"/>
  <c r="R54" i="9"/>
  <c r="Q56" i="9"/>
  <c r="Q36" i="9" s="1"/>
  <c r="Q29" i="9"/>
  <c r="Q30" i="9" s="1"/>
  <c r="Q7" i="9"/>
  <c r="R53" i="9" l="1"/>
  <c r="R33" i="9" s="1"/>
  <c r="R17" i="9"/>
  <c r="R32" i="9" s="1"/>
  <c r="X91" i="8" s="1"/>
  <c r="Q59" i="9"/>
  <c r="Q39" i="9"/>
  <c r="R6" i="9" l="1"/>
  <c r="H5" i="2" s="1"/>
  <c r="Q12" i="9"/>
  <c r="R38" i="9" s="1"/>
  <c r="H13" i="2"/>
  <c r="R20" i="9"/>
  <c r="H12" i="2" s="1"/>
  <c r="R34" i="9"/>
  <c r="H15" i="2" s="1"/>
  <c r="H14" i="2"/>
  <c r="Q60" i="9"/>
  <c r="Q40" i="9"/>
  <c r="Q9" i="9"/>
  <c r="H68" i="2" l="1"/>
  <c r="S16" i="9"/>
  <c r="W88" i="8"/>
  <c r="W89" i="8" s="1"/>
  <c r="R58" i="9"/>
  <c r="H22" i="2" s="1"/>
  <c r="R7" i="9"/>
  <c r="H6" i="2" s="1"/>
  <c r="R26" i="9"/>
  <c r="R5" i="9"/>
  <c r="H4" i="2" s="1"/>
  <c r="H62" i="2" s="1"/>
  <c r="H19" i="2"/>
  <c r="H70" i="2" s="1"/>
  <c r="R55" i="9"/>
  <c r="Q13" i="9"/>
  <c r="Q3" i="9" s="1"/>
  <c r="Q64" i="9"/>
  <c r="Q62" i="9"/>
  <c r="S53" i="9" l="1"/>
  <c r="S33" i="9" s="1"/>
  <c r="R29" i="9"/>
  <c r="R30" i="9" s="1"/>
  <c r="R56" i="9"/>
  <c r="S17" i="9"/>
  <c r="S6" i="9" s="1"/>
  <c r="R11" i="9"/>
  <c r="H9" i="2" s="1"/>
  <c r="H64" i="2" s="1"/>
  <c r="S52" i="9"/>
  <c r="S15" i="9"/>
  <c r="H29" i="2"/>
  <c r="R35" i="9"/>
  <c r="H21" i="2"/>
  <c r="S57" i="9" l="1"/>
  <c r="S37" i="9" s="1"/>
  <c r="S10" i="9" s="1"/>
  <c r="R39" i="9"/>
  <c r="H20" i="2" s="1"/>
  <c r="R59" i="9"/>
  <c r="R60" i="9" s="1"/>
  <c r="R36" i="9"/>
  <c r="H30" i="2" s="1"/>
  <c r="H16" i="2"/>
  <c r="H69" i="2" s="1"/>
  <c r="R8" i="9"/>
  <c r="H7" i="2" s="1"/>
  <c r="H63" i="2" s="1"/>
  <c r="T16" i="9"/>
  <c r="H23" i="2" l="1"/>
  <c r="R40" i="9"/>
  <c r="R62" i="9" s="1"/>
  <c r="R12" i="9"/>
  <c r="H10" i="2" s="1"/>
  <c r="R9" i="9"/>
  <c r="H8" i="2" s="1"/>
  <c r="H17" i="2"/>
  <c r="S54" i="9"/>
  <c r="S18" i="9"/>
  <c r="S32" i="9" s="1"/>
  <c r="H71" i="2" l="1"/>
  <c r="H72" i="2" s="1"/>
  <c r="H65" i="2"/>
  <c r="S55" i="9"/>
  <c r="S35" i="9" s="1"/>
  <c r="S8" i="9" s="1"/>
  <c r="T18" i="9" s="1"/>
  <c r="S58" i="9"/>
  <c r="X88" i="8"/>
  <c r="H76" i="2" s="1"/>
  <c r="R64" i="9"/>
  <c r="R13" i="9"/>
  <c r="H11" i="2"/>
  <c r="H52" i="2" s="1"/>
  <c r="H58" i="2" s="1"/>
  <c r="H3" i="2"/>
  <c r="S38" i="9"/>
  <c r="S5" i="9"/>
  <c r="S20" i="9"/>
  <c r="S26" i="9" s="1"/>
  <c r="S34" i="9"/>
  <c r="X89" i="8" l="1"/>
  <c r="H77" i="2"/>
  <c r="H50" i="2"/>
  <c r="H56" i="2" s="1"/>
  <c r="H28" i="2"/>
  <c r="H67" i="2" s="1"/>
  <c r="H66" i="2"/>
  <c r="H27" i="2"/>
  <c r="H51" i="2"/>
  <c r="H57" i="2" s="1"/>
  <c r="H49" i="2"/>
  <c r="H55" i="2" s="1"/>
  <c r="H53" i="2"/>
  <c r="H59" i="2" s="1"/>
  <c r="S11" i="9"/>
  <c r="T57" i="9" s="1"/>
  <c r="T37" i="9" s="1"/>
  <c r="T10" i="9" s="1"/>
  <c r="R3" i="9"/>
  <c r="H24" i="2"/>
  <c r="H73" i="2" s="1"/>
  <c r="H25" i="2"/>
  <c r="H74" i="2" s="1"/>
  <c r="T54" i="9"/>
  <c r="S56" i="9"/>
  <c r="S36" i="9" s="1"/>
  <c r="S29" i="9"/>
  <c r="T52" i="9"/>
  <c r="T15" i="9"/>
  <c r="S7" i="9"/>
  <c r="S59" i="9" l="1"/>
  <c r="S60" i="9" s="1"/>
  <c r="S39" i="9"/>
  <c r="T53" i="9"/>
  <c r="T33" i="9" s="1"/>
  <c r="T17" i="9"/>
  <c r="T32" i="9" s="1"/>
  <c r="S30" i="9"/>
  <c r="T34" i="9" l="1"/>
  <c r="T7" i="9" s="1"/>
  <c r="U53" i="9" s="1"/>
  <c r="T5" i="9"/>
  <c r="T20" i="9"/>
  <c r="T26" i="9" s="1"/>
  <c r="T6" i="9"/>
  <c r="U16" i="9" s="1"/>
  <c r="S12" i="9"/>
  <c r="T58" i="9" s="1"/>
  <c r="S40" i="9"/>
  <c r="S62" i="9" s="1"/>
  <c r="S9" i="9"/>
  <c r="Y88" i="8" l="1"/>
  <c r="Y89" i="8" s="1"/>
  <c r="U17" i="9"/>
  <c r="U6" i="9" s="1"/>
  <c r="V16" i="9" s="1"/>
  <c r="T56" i="9"/>
  <c r="T36" i="9" s="1"/>
  <c r="T9" i="9" s="1"/>
  <c r="T29" i="9"/>
  <c r="T59" i="9" s="1"/>
  <c r="T38" i="9"/>
  <c r="T11" i="9" s="1"/>
  <c r="U57" i="9" s="1"/>
  <c r="U37" i="9" s="1"/>
  <c r="U10" i="9" s="1"/>
  <c r="U15" i="9"/>
  <c r="U52" i="9"/>
  <c r="U33" i="9"/>
  <c r="T55" i="9"/>
  <c r="S13" i="9"/>
  <c r="S3" i="9" s="1"/>
  <c r="S64" i="9"/>
  <c r="T39" i="9" l="1"/>
  <c r="T12" i="9" s="1"/>
  <c r="T30" i="9"/>
  <c r="T35" i="9"/>
  <c r="T60" i="9"/>
  <c r="U55" i="9"/>
  <c r="U58" i="9" l="1"/>
  <c r="U38" i="9"/>
  <c r="T40" i="9"/>
  <c r="T8" i="9"/>
  <c r="Z88" i="8" s="1"/>
  <c r="Z89" i="8" s="1"/>
  <c r="U11" i="9" l="1"/>
  <c r="V57" i="9" s="1"/>
  <c r="V37" i="9" s="1"/>
  <c r="V10" i="9" s="1"/>
  <c r="T64" i="9"/>
  <c r="T62" i="9"/>
  <c r="U54" i="9"/>
  <c r="U18" i="9"/>
  <c r="U32" i="9" s="1"/>
  <c r="T13" i="9"/>
  <c r="T3" i="9" s="1"/>
  <c r="U35" i="9" l="1"/>
  <c r="U8" i="9" s="1"/>
  <c r="V54" i="9" s="1"/>
  <c r="U5" i="9"/>
  <c r="U20" i="9"/>
  <c r="U26" i="9" s="1"/>
  <c r="U34" i="9"/>
  <c r="V18" i="9" l="1"/>
  <c r="U7" i="9"/>
  <c r="V52" i="9"/>
  <c r="V15" i="9"/>
  <c r="U56" i="9"/>
  <c r="U36" i="9" s="1"/>
  <c r="U29" i="9"/>
  <c r="U30" i="9" s="1"/>
  <c r="U39" i="9" l="1"/>
  <c r="U59" i="9"/>
  <c r="U60" i="9" s="1"/>
  <c r="V53" i="9"/>
  <c r="V33" i="9" s="1"/>
  <c r="V17" i="9"/>
  <c r="V32" i="9" s="1"/>
  <c r="V5" i="9" l="1"/>
  <c r="U12" i="9"/>
  <c r="V58" i="9" s="1"/>
  <c r="U40" i="9"/>
  <c r="U9" i="9"/>
  <c r="V6" i="9"/>
  <c r="V20" i="9"/>
  <c r="V26" i="9" s="1"/>
  <c r="V34" i="9"/>
  <c r="V7" i="9" s="1"/>
  <c r="AA88" i="8" l="1"/>
  <c r="AA89" i="8" s="1"/>
  <c r="V38" i="9"/>
  <c r="V11" i="9" s="1"/>
  <c r="W57" i="9" s="1"/>
  <c r="W52" i="9"/>
  <c r="W15" i="9"/>
  <c r="V55" i="9"/>
  <c r="U13" i="9"/>
  <c r="U3" i="9" s="1"/>
  <c r="U64" i="9"/>
  <c r="W53" i="9"/>
  <c r="W17" i="9"/>
  <c r="W6" i="9" s="1"/>
  <c r="I5" i="2" s="1"/>
  <c r="W16" i="9"/>
  <c r="V56" i="9"/>
  <c r="V29" i="9"/>
  <c r="U62" i="9"/>
  <c r="V36" i="9" l="1"/>
  <c r="V9" i="9" s="1"/>
  <c r="W55" i="9" s="1"/>
  <c r="W33" i="9"/>
  <c r="I14" i="2" s="1"/>
  <c r="V59" i="9"/>
  <c r="V60" i="9" s="1"/>
  <c r="V39" i="9"/>
  <c r="X16" i="9"/>
  <c r="V30" i="9"/>
  <c r="V35" i="9"/>
  <c r="W37" i="9"/>
  <c r="V12" i="9" l="1"/>
  <c r="W38" i="9" s="1"/>
  <c r="I19" i="2" s="1"/>
  <c r="V40" i="9"/>
  <c r="V8" i="9"/>
  <c r="I18" i="2"/>
  <c r="W10" i="9"/>
  <c r="I70" i="2" l="1"/>
  <c r="AB88" i="8"/>
  <c r="AB89" i="8" s="1"/>
  <c r="V64" i="9"/>
  <c r="W58" i="9"/>
  <c r="I22" i="2" s="1"/>
  <c r="V62" i="9"/>
  <c r="W54" i="9"/>
  <c r="W18" i="9"/>
  <c r="W32" i="9" s="1"/>
  <c r="V13" i="9"/>
  <c r="V3" i="9" s="1"/>
  <c r="I13" i="2" l="1"/>
  <c r="I68" i="2" s="1"/>
  <c r="W11" i="9"/>
  <c r="I9" i="2" s="1"/>
  <c r="I64" i="2" s="1"/>
  <c r="W35" i="9"/>
  <c r="W20" i="9"/>
  <c r="W5" i="9"/>
  <c r="I4" i="2" s="1"/>
  <c r="I62" i="2" s="1"/>
  <c r="W34" i="9"/>
  <c r="I21" i="2"/>
  <c r="X57" i="9" l="1"/>
  <c r="X37" i="9" s="1"/>
  <c r="X10" i="9" s="1"/>
  <c r="I29" i="2"/>
  <c r="X52" i="9"/>
  <c r="X15" i="9"/>
  <c r="I12" i="2"/>
  <c r="W26" i="9"/>
  <c r="I15" i="2"/>
  <c r="W7" i="9"/>
  <c r="I6" i="2" s="1"/>
  <c r="I16" i="2"/>
  <c r="W8" i="9"/>
  <c r="I7" i="2" s="1"/>
  <c r="I69" i="2" l="1"/>
  <c r="I63" i="2"/>
  <c r="W29" i="9"/>
  <c r="W30" i="9" s="1"/>
  <c r="W56" i="9"/>
  <c r="W36" i="9" s="1"/>
  <c r="X53" i="9"/>
  <c r="X33" i="9" s="1"/>
  <c r="X17" i="9"/>
  <c r="X54" i="9"/>
  <c r="X18" i="9"/>
  <c r="X32" i="9" l="1"/>
  <c r="X5" i="9" s="1"/>
  <c r="X34" i="9"/>
  <c r="X7" i="9" s="1"/>
  <c r="X6" i="9"/>
  <c r="X20" i="9"/>
  <c r="W39" i="9"/>
  <c r="I20" i="2" s="1"/>
  <c r="W59" i="9"/>
  <c r="I23" i="2" l="1"/>
  <c r="W12" i="9"/>
  <c r="I10" i="2" s="1"/>
  <c r="X26" i="9"/>
  <c r="I17" i="2"/>
  <c r="I30" i="2"/>
  <c r="W40" i="9"/>
  <c r="W62" i="9" s="1"/>
  <c r="W9" i="9"/>
  <c r="I8" i="2" s="1"/>
  <c r="W60" i="9"/>
  <c r="I71" i="2" l="1"/>
  <c r="I72" i="2" s="1"/>
  <c r="I65" i="2"/>
  <c r="AC88" i="8"/>
  <c r="I76" i="2" s="1"/>
  <c r="W64" i="9"/>
  <c r="X56" i="9"/>
  <c r="X29" i="9"/>
  <c r="X30" i="9" s="1"/>
  <c r="X58" i="9"/>
  <c r="X38" i="9"/>
  <c r="X55" i="9"/>
  <c r="I3" i="2"/>
  <c r="I11" i="2"/>
  <c r="I52" i="2" s="1"/>
  <c r="I58" i="2" s="1"/>
  <c r="W13" i="9"/>
  <c r="W3" i="9" s="1"/>
  <c r="AC89" i="8" l="1"/>
  <c r="I77" i="2"/>
  <c r="I50" i="2"/>
  <c r="I56" i="2" s="1"/>
  <c r="I28" i="2"/>
  <c r="I67" i="2" s="1"/>
  <c r="I66" i="2"/>
  <c r="I27" i="2"/>
  <c r="I49" i="2"/>
  <c r="I55" i="2" s="1"/>
  <c r="I51" i="2"/>
  <c r="I57" i="2" s="1"/>
  <c r="I53" i="2"/>
  <c r="I59" i="2" s="1"/>
  <c r="X36" i="9"/>
  <c r="X9" i="9" s="1"/>
  <c r="X11" i="9"/>
  <c r="I25" i="2"/>
  <c r="I74" i="2" s="1"/>
  <c r="X35" i="9"/>
  <c r="X59" i="9"/>
  <c r="X60" i="9" s="1"/>
  <c r="X39" i="9"/>
  <c r="I24" i="2"/>
  <c r="I73" i="2" s="1"/>
  <c r="X12" i="9" l="1"/>
  <c r="X40" i="9"/>
  <c r="X8" i="9"/>
  <c r="X13" i="9" l="1"/>
  <c r="X3" i="9" s="1"/>
  <c r="X64" i="9"/>
  <c r="X62" i="9"/>
</calcChain>
</file>

<file path=xl/sharedStrings.xml><?xml version="1.0" encoding="utf-8"?>
<sst xmlns="http://schemas.openxmlformats.org/spreadsheetml/2006/main" count="385" uniqueCount="142">
  <si>
    <t>Vacas</t>
  </si>
  <si>
    <t>Terneros</t>
  </si>
  <si>
    <t>Terneras</t>
  </si>
  <si>
    <t>Categoría</t>
  </si>
  <si>
    <t>Vaquillas 25-36</t>
  </si>
  <si>
    <t>Novillos 13-24</t>
  </si>
  <si>
    <t>Novillos 25-36</t>
  </si>
  <si>
    <t>Mortalidad</t>
  </si>
  <si>
    <t>Venta</t>
  </si>
  <si>
    <t>Existencias</t>
  </si>
  <si>
    <t>Entradas</t>
  </si>
  <si>
    <t>Mort/Pérdidas</t>
  </si>
  <si>
    <t>Vaquillas 37-48</t>
  </si>
  <si>
    <t>Fertilidad</t>
  </si>
  <si>
    <t>Encaste</t>
  </si>
  <si>
    <t>Partos</t>
  </si>
  <si>
    <t>Balance</t>
  </si>
  <si>
    <t>nada</t>
  </si>
  <si>
    <t>descarte vacas</t>
  </si>
  <si>
    <t>mortalidad</t>
  </si>
  <si>
    <t>Tasa extracción</t>
  </si>
  <si>
    <t>Total</t>
  </si>
  <si>
    <t>% Venta nov 13-24</t>
  </si>
  <si>
    <t>% venta terneros</t>
  </si>
  <si>
    <t>% encaste y fert por categoría</t>
  </si>
  <si>
    <t>cons informal</t>
  </si>
  <si>
    <t>se descuenta de existencias</t>
  </si>
  <si>
    <t>se descuenta de ventas</t>
  </si>
  <si>
    <t>cons informal vc vq3</t>
  </si>
  <si>
    <t>cons según disponibilidad</t>
  </si>
  <si>
    <t>Edad</t>
  </si>
  <si>
    <t>Fila</t>
  </si>
  <si>
    <t>Columna</t>
  </si>
  <si>
    <t>&lt; cero</t>
  </si>
  <si>
    <t>Tasa de extracción estimada</t>
  </si>
  <si>
    <t>"@risk"</t>
  </si>
  <si>
    <t>Entrada 0</t>
  </si>
  <si>
    <t>Entrada 1</t>
  </si>
  <si>
    <t>Entrada 2</t>
  </si>
  <si>
    <t>Entrada 3</t>
  </si>
  <si>
    <t>Entrada 4</t>
  </si>
  <si>
    <t>Entrada 5</t>
  </si>
  <si>
    <t>Entrada 6</t>
  </si>
  <si>
    <t>Entrada 7</t>
  </si>
  <si>
    <t>Entrada 8</t>
  </si>
  <si>
    <t>Entrada 9</t>
  </si>
  <si>
    <t>Entrada 10</t>
  </si>
  <si>
    <t>Crecimiento del rebaño</t>
  </si>
  <si>
    <t>Beneficio informal</t>
  </si>
  <si>
    <t>Tasa de descarte</t>
  </si>
  <si>
    <t>Año 1</t>
  </si>
  <si>
    <t>Año 5</t>
  </si>
  <si>
    <t>Año 10</t>
  </si>
  <si>
    <t>TE Total</t>
  </si>
  <si>
    <t>TE Novillos</t>
  </si>
  <si>
    <t>Valor</t>
  </si>
  <si>
    <t>Entrada 11</t>
  </si>
  <si>
    <t>Entrada 12</t>
  </si>
  <si>
    <t>Entrada 13</t>
  </si>
  <si>
    <t>Entrada 14</t>
  </si>
  <si>
    <t>Entrada 15</t>
  </si>
  <si>
    <t>Entrada 16</t>
  </si>
  <si>
    <t>Entrada 17</t>
  </si>
  <si>
    <t>Entrada 18</t>
  </si>
  <si>
    <t>Entrada 19</t>
  </si>
  <si>
    <t>Entrada 20</t>
  </si>
  <si>
    <t>Año 15</t>
  </si>
  <si>
    <t>Año 20</t>
  </si>
  <si>
    <t>Valores inciales (Encuesta 2015)</t>
  </si>
  <si>
    <t>Crecimiento acumulado</t>
  </si>
  <si>
    <t>% sg edad 1° encaste</t>
  </si>
  <si>
    <t>Benef. informal</t>
  </si>
  <si>
    <t>Venta de nov/vaq</t>
  </si>
  <si>
    <t>Vaquillas 13-24</t>
  </si>
  <si>
    <t>Vaquillas 25-36 + 9 m</t>
  </si>
  <si>
    <t>Vaquillas 37-48 + 9 m</t>
  </si>
  <si>
    <t>Descarte de vacas</t>
  </si>
  <si>
    <t>Tamaño máx rebaño</t>
  </si>
  <si>
    <t>Vaquillas 13-24 + 9 m</t>
  </si>
  <si>
    <t>ERROR</t>
  </si>
  <si>
    <t>Reemplazo</t>
  </si>
  <si>
    <t>Partos promedio</t>
  </si>
  <si>
    <t>Horror</t>
  </si>
  <si>
    <t xml:space="preserve">Mortalidad </t>
  </si>
  <si>
    <t>Vacas y vaquillas</t>
  </si>
  <si>
    <t>Novillos</t>
  </si>
  <si>
    <t>Terneros y terneras</t>
  </si>
  <si>
    <t>Vaca</t>
  </si>
  <si>
    <t>Equil</t>
  </si>
  <si>
    <t>Consenso</t>
  </si>
  <si>
    <t>Utilizado</t>
  </si>
  <si>
    <t>UAEq</t>
  </si>
  <si>
    <t>Capacidad talajera</t>
  </si>
  <si>
    <t>UAEq toros</t>
  </si>
  <si>
    <t>UAEq ovinos</t>
  </si>
  <si>
    <t>Disponible bovinos</t>
  </si>
  <si>
    <t>Entrada 21</t>
  </si>
  <si>
    <t>Venta terneras (%)</t>
  </si>
  <si>
    <t>TE animales terminados</t>
  </si>
  <si>
    <t xml:space="preserve">Disponibilidad de forraje sg escenario </t>
  </si>
  <si>
    <t>Tendencial</t>
  </si>
  <si>
    <t>Actual</t>
  </si>
  <si>
    <t>Moderado</t>
  </si>
  <si>
    <t>Acelerado</t>
  </si>
  <si>
    <t>Excedente forrajero</t>
  </si>
  <si>
    <t>Solo bovinos</t>
  </si>
  <si>
    <t>Crecimiento anual</t>
  </si>
  <si>
    <t>Corrección vacas/disponibilidad</t>
  </si>
  <si>
    <t>Excedente %</t>
  </si>
  <si>
    <t>Año 0</t>
  </si>
  <si>
    <t>Disponibilidad de forraje (modelo LP)</t>
  </si>
  <si>
    <t>Bovinos reales</t>
  </si>
  <si>
    <t>Demanda</t>
  </si>
  <si>
    <t>Excedente</t>
  </si>
  <si>
    <t>Vacas + Vaquillas 37-48</t>
  </si>
  <si>
    <t>Vaquillas 13-36</t>
  </si>
  <si>
    <t>Tasa de extracción</t>
  </si>
  <si>
    <t>Ventas</t>
  </si>
  <si>
    <t>Balance forrajero</t>
  </si>
  <si>
    <t>Existencias (UAEq)</t>
  </si>
  <si>
    <t>Disponibilidad (UAEq)</t>
  </si>
  <si>
    <t>Escenario</t>
  </si>
  <si>
    <t>Acumulado</t>
  </si>
  <si>
    <t>Oferta</t>
  </si>
  <si>
    <t>Base</t>
  </si>
  <si>
    <t>Modelo tendencial</t>
  </si>
  <si>
    <t>Modelo Moderado</t>
  </si>
  <si>
    <t>Modelo Acelerado</t>
  </si>
  <si>
    <t>8,1% en 20 años</t>
  </si>
  <si>
    <t>39,2% en 20 años</t>
  </si>
  <si>
    <t>64,2% en 20 años</t>
  </si>
  <si>
    <t>CC</t>
  </si>
  <si>
    <t>FA</t>
  </si>
  <si>
    <t>CRB</t>
  </si>
  <si>
    <t>Acelerado con retención</t>
  </si>
  <si>
    <t>Venta vaca gorda</t>
  </si>
  <si>
    <t>Venta nov y vaq</t>
  </si>
  <si>
    <t>Modelo Acelerado con retención</t>
  </si>
  <si>
    <t>Tamaño del rebaño</t>
  </si>
  <si>
    <t>Venta vacas y vaquillas 37-48</t>
  </si>
  <si>
    <t>Venta novillos y vaquillas 13-36</t>
  </si>
  <si>
    <t>Venta terneros y terneras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</si>
</sst>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00"/>
    <numFmt numFmtId="166" formatCode="0.0"/>
    <numFmt numFmtId="167" formatCode="#,##0.0"/>
    <numFmt numFmtId="168" formatCode="0.000"/>
    <numFmt numFmtId="169" formatCode="0.000%"/>
  </numFmts>
  <fonts count="1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Palatino Linotype"/>
      <family val="1"/>
    </font>
    <font>
      <b/>
      <sz val="9"/>
      <color rgb="FFFFFFFF"/>
      <name val="Palatino Linotype"/>
      <family val="1"/>
    </font>
    <font>
      <sz val="9"/>
      <color rgb="FFFFFFFF"/>
      <name val="Palatino Linotype"/>
      <family val="1"/>
    </font>
    <font>
      <sz val="11"/>
      <color rgb="FF000000"/>
      <name val="Calibri"/>
      <family val="2"/>
    </font>
    <font>
      <b/>
      <sz val="9"/>
      <color rgb="FFFFFFFF"/>
      <name val="Calibri"/>
      <family val="2"/>
      <scheme val="minor"/>
    </font>
    <font>
      <sz val="9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8D8D8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9" fillId="0" borderId="0"/>
  </cellStyleXfs>
  <cellXfs count="20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3" fontId="2" fillId="0" borderId="0" xfId="0" applyNumberFormat="1" applyFont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/>
    </xf>
    <xf numFmtId="3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/>
    </xf>
    <xf numFmtId="0" fontId="0" fillId="0" borderId="0" xfId="0" applyAlignment="1">
      <alignment horizontal="left" vertical="center"/>
    </xf>
    <xf numFmtId="3" fontId="4" fillId="0" borderId="1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0" fillId="3" borderId="0" xfId="0" applyNumberFormat="1" applyFill="1" applyAlignment="1">
      <alignment horizontal="center"/>
    </xf>
    <xf numFmtId="164" fontId="0" fillId="0" borderId="0" xfId="1" applyNumberFormat="1" applyFont="1" applyAlignment="1">
      <alignment horizontal="center"/>
    </xf>
    <xf numFmtId="3" fontId="2" fillId="4" borderId="3" xfId="0" applyNumberFormat="1" applyFont="1" applyFill="1" applyBorder="1" applyAlignment="1">
      <alignment horizontal="center" vertical="top" wrapText="1"/>
    </xf>
    <xf numFmtId="3" fontId="2" fillId="4" borderId="4" xfId="0" applyNumberFormat="1" applyFont="1" applyFill="1" applyBorder="1" applyAlignment="1">
      <alignment horizontal="center" vertical="top" wrapText="1"/>
    </xf>
    <xf numFmtId="3" fontId="2" fillId="4" borderId="5" xfId="0" applyNumberFormat="1" applyFont="1" applyFill="1" applyBorder="1" applyAlignment="1">
      <alignment horizontal="center" vertical="top" wrapText="1"/>
    </xf>
    <xf numFmtId="0" fontId="6" fillId="5" borderId="6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/>
    </xf>
    <xf numFmtId="9" fontId="0" fillId="2" borderId="12" xfId="1" applyFont="1" applyFill="1" applyBorder="1" applyAlignment="1">
      <alignment horizontal="center" vertical="center"/>
    </xf>
    <xf numFmtId="9" fontId="0" fillId="2" borderId="14" xfId="1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3" fontId="0" fillId="4" borderId="10" xfId="0" applyNumberFormat="1" applyFill="1" applyBorder="1" applyAlignment="1">
      <alignment horizontal="center" vertical="center"/>
    </xf>
    <xf numFmtId="3" fontId="0" fillId="4" borderId="10" xfId="0" applyNumberFormat="1" applyFill="1" applyBorder="1" applyAlignment="1">
      <alignment horizontal="center"/>
    </xf>
    <xf numFmtId="3" fontId="0" fillId="4" borderId="11" xfId="0" applyNumberFormat="1" applyFill="1" applyBorder="1" applyAlignment="1">
      <alignment horizontal="center"/>
    </xf>
    <xf numFmtId="3" fontId="0" fillId="4" borderId="7" xfId="0" applyNumberFormat="1" applyFill="1" applyBorder="1"/>
    <xf numFmtId="3" fontId="0" fillId="4" borderId="8" xfId="0" applyNumberFormat="1" applyFill="1" applyBorder="1" applyAlignment="1">
      <alignment horizontal="center"/>
    </xf>
    <xf numFmtId="166" fontId="0" fillId="0" borderId="0" xfId="0" applyNumberFormat="1" applyAlignment="1">
      <alignment horizontal="center" vertical="center"/>
    </xf>
    <xf numFmtId="9" fontId="0" fillId="2" borderId="13" xfId="1" applyFont="1" applyFill="1" applyBorder="1" applyAlignment="1">
      <alignment horizontal="center" vertical="center"/>
    </xf>
    <xf numFmtId="9" fontId="0" fillId="2" borderId="0" xfId="1" applyFont="1" applyFill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9" fontId="0" fillId="2" borderId="15" xfId="1" applyFont="1" applyFill="1" applyBorder="1" applyAlignment="1">
      <alignment horizontal="center" vertical="center"/>
    </xf>
    <xf numFmtId="9" fontId="0" fillId="2" borderId="18" xfId="1" applyFont="1" applyFill="1" applyBorder="1" applyAlignment="1">
      <alignment horizontal="center" vertical="center"/>
    </xf>
    <xf numFmtId="164" fontId="0" fillId="2" borderId="12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0" fillId="2" borderId="13" xfId="1" applyNumberFormat="1" applyFont="1" applyFill="1" applyBorder="1" applyAlignment="1">
      <alignment horizontal="center" vertical="center"/>
    </xf>
    <xf numFmtId="164" fontId="0" fillId="2" borderId="14" xfId="1" applyNumberFormat="1" applyFont="1" applyFill="1" applyBorder="1" applyAlignment="1">
      <alignment horizontal="center" vertical="center"/>
    </xf>
    <xf numFmtId="164" fontId="0" fillId="2" borderId="0" xfId="1" applyNumberFormat="1" applyFont="1" applyFill="1" applyBorder="1" applyAlignment="1">
      <alignment horizontal="center" vertical="center"/>
    </xf>
    <xf numFmtId="164" fontId="0" fillId="2" borderId="9" xfId="1" applyNumberFormat="1" applyFont="1" applyFill="1" applyBorder="1" applyAlignment="1">
      <alignment horizontal="center" vertical="center"/>
    </xf>
    <xf numFmtId="164" fontId="0" fillId="2" borderId="10" xfId="1" applyNumberFormat="1" applyFont="1" applyFill="1" applyBorder="1" applyAlignment="1">
      <alignment horizontal="center" vertical="center"/>
    </xf>
    <xf numFmtId="164" fontId="0" fillId="2" borderId="11" xfId="1" applyNumberFormat="1" applyFont="1" applyFill="1" applyBorder="1" applyAlignment="1">
      <alignment horizontal="center" vertical="center"/>
    </xf>
    <xf numFmtId="0" fontId="7" fillId="0" borderId="0" xfId="0" applyFont="1" applyBorder="1" applyAlignment="1"/>
    <xf numFmtId="164" fontId="0" fillId="0" borderId="0" xfId="0" applyNumberFormat="1" applyFill="1" applyAlignment="1">
      <alignment horizontal="center" vertical="center"/>
    </xf>
    <xf numFmtId="164" fontId="0" fillId="2" borderId="15" xfId="1" applyNumberFormat="1" applyFont="1" applyFill="1" applyBorder="1" applyAlignment="1">
      <alignment horizontal="center" vertical="center"/>
    </xf>
    <xf numFmtId="164" fontId="0" fillId="2" borderId="18" xfId="1" applyNumberFormat="1" applyFont="1" applyFill="1" applyBorder="1" applyAlignment="1">
      <alignment horizontal="center" vertical="center"/>
    </xf>
    <xf numFmtId="164" fontId="0" fillId="2" borderId="7" xfId="1" applyNumberFormat="1" applyFont="1" applyFill="1" applyBorder="1" applyAlignment="1">
      <alignment horizontal="center" vertical="center"/>
    </xf>
    <xf numFmtId="164" fontId="0" fillId="2" borderId="8" xfId="1" applyNumberFormat="1" applyFont="1" applyFill="1" applyBorder="1" applyAlignment="1">
      <alignment horizontal="center" vertical="center"/>
    </xf>
    <xf numFmtId="164" fontId="0" fillId="2" borderId="17" xfId="1" applyNumberFormat="1" applyFont="1" applyFill="1" applyBorder="1" applyAlignment="1">
      <alignment horizontal="center" vertical="center"/>
    </xf>
    <xf numFmtId="3" fontId="0" fillId="2" borderId="12" xfId="1" applyNumberFormat="1" applyFont="1" applyFill="1" applyBorder="1" applyAlignment="1">
      <alignment horizontal="center" vertical="center"/>
    </xf>
    <xf numFmtId="3" fontId="0" fillId="2" borderId="13" xfId="1" applyNumberFormat="1" applyFont="1" applyFill="1" applyBorder="1" applyAlignment="1">
      <alignment horizontal="center" vertical="center"/>
    </xf>
    <xf numFmtId="3" fontId="0" fillId="2" borderId="14" xfId="1" applyNumberFormat="1" applyFont="1" applyFill="1" applyBorder="1" applyAlignment="1">
      <alignment horizontal="center" vertical="center"/>
    </xf>
    <xf numFmtId="3" fontId="0" fillId="2" borderId="0" xfId="1" applyNumberFormat="1" applyFont="1" applyFill="1" applyBorder="1" applyAlignment="1">
      <alignment horizontal="center" vertical="center"/>
    </xf>
    <xf numFmtId="3" fontId="0" fillId="2" borderId="15" xfId="1" applyNumberFormat="1" applyFont="1" applyFill="1" applyBorder="1" applyAlignment="1">
      <alignment horizontal="center" vertical="center"/>
    </xf>
    <xf numFmtId="3" fontId="0" fillId="2" borderId="18" xfId="1" applyNumberFormat="1" applyFont="1" applyFill="1" applyBorder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3" fontId="0" fillId="6" borderId="1" xfId="0" applyNumberFormat="1" applyFill="1" applyBorder="1" applyAlignment="1">
      <alignment horizontal="center" vertical="center"/>
    </xf>
    <xf numFmtId="3" fontId="0" fillId="6" borderId="2" xfId="0" applyNumberForma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top" wrapText="1"/>
    </xf>
    <xf numFmtId="10" fontId="0" fillId="0" borderId="0" xfId="1" applyNumberFormat="1" applyFont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168" fontId="0" fillId="0" borderId="0" xfId="0" applyNumberFormat="1"/>
    <xf numFmtId="3" fontId="0" fillId="7" borderId="3" xfId="0" applyNumberFormat="1" applyFill="1" applyBorder="1" applyAlignment="1">
      <alignment horizontal="center" vertical="center" wrapText="1"/>
    </xf>
    <xf numFmtId="3" fontId="0" fillId="7" borderId="4" xfId="0" applyNumberFormat="1" applyFill="1" applyBorder="1" applyAlignment="1">
      <alignment horizontal="center" vertical="center" wrapText="1"/>
    </xf>
    <xf numFmtId="0" fontId="0" fillId="7" borderId="4" xfId="0" applyFill="1" applyBorder="1"/>
    <xf numFmtId="164" fontId="0" fillId="7" borderId="4" xfId="1" applyNumberFormat="1" applyFont="1" applyFill="1" applyBorder="1" applyAlignment="1">
      <alignment horizontal="center"/>
    </xf>
    <xf numFmtId="164" fontId="0" fillId="7" borderId="4" xfId="0" applyNumberFormat="1" applyFill="1" applyBorder="1"/>
    <xf numFmtId="3" fontId="0" fillId="7" borderId="4" xfId="0" applyNumberFormat="1" applyFill="1" applyBorder="1" applyAlignment="1">
      <alignment horizontal="center"/>
    </xf>
    <xf numFmtId="3" fontId="0" fillId="7" borderId="5" xfId="0" applyNumberFormat="1" applyFill="1" applyBorder="1" applyAlignment="1">
      <alignment horizontal="center"/>
    </xf>
    <xf numFmtId="9" fontId="0" fillId="0" borderId="0" xfId="0" applyNumberFormat="1" applyAlignment="1">
      <alignment horizontal="center"/>
    </xf>
    <xf numFmtId="164" fontId="0" fillId="0" borderId="4" xfId="1" applyNumberFormat="1" applyFont="1" applyBorder="1" applyAlignment="1">
      <alignment horizontal="center" vertical="center"/>
    </xf>
    <xf numFmtId="3" fontId="0" fillId="8" borderId="3" xfId="0" applyNumberFormat="1" applyFill="1" applyBorder="1" applyAlignment="1">
      <alignment horizontal="center" vertical="center" wrapText="1"/>
    </xf>
    <xf numFmtId="3" fontId="0" fillId="8" borderId="4" xfId="0" applyNumberFormat="1" applyFill="1" applyBorder="1" applyAlignment="1">
      <alignment horizontal="center" vertical="center" wrapText="1"/>
    </xf>
    <xf numFmtId="0" fontId="0" fillId="8" borderId="4" xfId="0" applyFill="1" applyBorder="1"/>
    <xf numFmtId="164" fontId="0" fillId="8" borderId="4" xfId="1" applyNumberFormat="1" applyFont="1" applyFill="1" applyBorder="1" applyAlignment="1">
      <alignment horizontal="center"/>
    </xf>
    <xf numFmtId="164" fontId="0" fillId="8" borderId="4" xfId="0" applyNumberFormat="1" applyFill="1" applyBorder="1"/>
    <xf numFmtId="10" fontId="0" fillId="8" borderId="4" xfId="1" applyNumberFormat="1" applyFont="1" applyFill="1" applyBorder="1" applyAlignment="1">
      <alignment horizontal="center"/>
    </xf>
    <xf numFmtId="10" fontId="0" fillId="8" borderId="4" xfId="0" applyNumberFormat="1" applyFill="1" applyBorder="1" applyAlignment="1">
      <alignment horizontal="center" vertical="center"/>
    </xf>
    <xf numFmtId="164" fontId="0" fillId="8" borderId="4" xfId="0" applyNumberFormat="1" applyFill="1" applyBorder="1" applyAlignment="1">
      <alignment horizontal="center" vertical="center"/>
    </xf>
    <xf numFmtId="3" fontId="0" fillId="8" borderId="4" xfId="0" applyNumberFormat="1" applyFill="1" applyBorder="1" applyAlignment="1">
      <alignment horizontal="center"/>
    </xf>
    <xf numFmtId="3" fontId="0" fillId="8" borderId="5" xfId="0" applyNumberFormat="1" applyFill="1" applyBorder="1" applyAlignment="1">
      <alignment horizontal="center"/>
    </xf>
    <xf numFmtId="0" fontId="0" fillId="0" borderId="0" xfId="0" applyBorder="1"/>
    <xf numFmtId="164" fontId="0" fillId="2" borderId="24" xfId="1" applyNumberFormat="1" applyFont="1" applyFill="1" applyBorder="1" applyAlignment="1">
      <alignment horizontal="center" vertical="center"/>
    </xf>
    <xf numFmtId="164" fontId="0" fillId="2" borderId="25" xfId="1" applyNumberFormat="1" applyFont="1" applyFill="1" applyBorder="1" applyAlignment="1">
      <alignment horizontal="center" vertical="center"/>
    </xf>
    <xf numFmtId="164" fontId="0" fillId="2" borderId="26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0" fontId="0" fillId="7" borderId="4" xfId="1" applyNumberFormat="1" applyFont="1" applyFill="1" applyBorder="1" applyAlignment="1">
      <alignment horizontal="center"/>
    </xf>
    <xf numFmtId="0" fontId="0" fillId="0" borderId="0" xfId="0" applyFont="1" applyAlignment="1"/>
    <xf numFmtId="3" fontId="0" fillId="0" borderId="0" xfId="0" applyNumberFormat="1" applyFont="1" applyAlignment="1">
      <alignment horizontal="left" vertical="center" wrapText="1" indent="2"/>
    </xf>
    <xf numFmtId="0" fontId="0" fillId="0" borderId="0" xfId="0" applyFont="1" applyAlignment="1">
      <alignment horizontal="left" vertical="center" wrapText="1" indent="2"/>
    </xf>
    <xf numFmtId="3" fontId="0" fillId="0" borderId="0" xfId="0" applyNumberFormat="1" applyFont="1" applyAlignment="1">
      <alignment horizontal="left" vertical="top"/>
    </xf>
    <xf numFmtId="3" fontId="0" fillId="0" borderId="19" xfId="0" applyNumberFormat="1" applyFont="1" applyBorder="1" applyAlignment="1">
      <alignment horizontal="center" vertical="top"/>
    </xf>
    <xf numFmtId="3" fontId="0" fillId="0" borderId="21" xfId="0" applyNumberFormat="1" applyFont="1" applyBorder="1" applyAlignment="1">
      <alignment horizontal="center" vertical="top"/>
    </xf>
    <xf numFmtId="3" fontId="0" fillId="0" borderId="0" xfId="0" applyNumberFormat="1" applyFont="1" applyAlignment="1">
      <alignment horizontal="left" vertical="top" indent="2"/>
    </xf>
    <xf numFmtId="3" fontId="10" fillId="0" borderId="0" xfId="0" applyNumberFormat="1" applyFont="1" applyAlignment="1">
      <alignment horizontal="left" vertical="top"/>
    </xf>
    <xf numFmtId="0" fontId="10" fillId="0" borderId="0" xfId="0" applyFont="1" applyAlignment="1"/>
    <xf numFmtId="3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4" fontId="0" fillId="9" borderId="3" xfId="0" applyNumberFormat="1" applyFont="1" applyFill="1" applyBorder="1" applyAlignment="1">
      <alignment horizontal="center" vertical="center" wrapText="1"/>
    </xf>
    <xf numFmtId="4" fontId="0" fillId="9" borderId="4" xfId="0" applyNumberFormat="1" applyFont="1" applyFill="1" applyBorder="1" applyAlignment="1">
      <alignment horizontal="center" vertical="center" wrapText="1"/>
    </xf>
    <xf numFmtId="4" fontId="0" fillId="9" borderId="5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/>
    </xf>
    <xf numFmtId="167" fontId="0" fillId="0" borderId="0" xfId="0" applyNumberFormat="1" applyFont="1" applyAlignment="1">
      <alignment horizontal="center"/>
    </xf>
    <xf numFmtId="3" fontId="0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3" fontId="0" fillId="0" borderId="22" xfId="0" applyNumberFormat="1" applyFont="1" applyBorder="1" applyAlignment="1">
      <alignment horizontal="center" vertical="center"/>
    </xf>
    <xf numFmtId="3" fontId="0" fillId="0" borderId="22" xfId="0" applyNumberFormat="1" applyFont="1" applyBorder="1" applyAlignment="1">
      <alignment horizontal="center" vertical="top" wrapText="1"/>
    </xf>
    <xf numFmtId="3" fontId="0" fillId="0" borderId="22" xfId="0" applyNumberFormat="1" applyFont="1" applyBorder="1" applyAlignment="1">
      <alignment horizontal="center"/>
    </xf>
    <xf numFmtId="3" fontId="0" fillId="0" borderId="23" xfId="0" applyNumberFormat="1" applyFont="1" applyBorder="1" applyAlignment="1">
      <alignment horizontal="center"/>
    </xf>
    <xf numFmtId="4" fontId="0" fillId="0" borderId="0" xfId="0" applyNumberFormat="1" applyFont="1" applyAlignment="1">
      <alignment horizontal="center" vertical="center"/>
    </xf>
    <xf numFmtId="3" fontId="0" fillId="0" borderId="28" xfId="0" applyNumberFormat="1" applyFont="1" applyBorder="1" applyAlignment="1">
      <alignment horizontal="center" vertical="center"/>
    </xf>
    <xf numFmtId="3" fontId="0" fillId="0" borderId="29" xfId="0" applyNumberFormat="1" applyFont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3" fontId="0" fillId="0" borderId="30" xfId="0" applyNumberFormat="1" applyFont="1" applyBorder="1" applyAlignment="1">
      <alignment horizontal="center" vertical="center"/>
    </xf>
    <xf numFmtId="3" fontId="0" fillId="0" borderId="31" xfId="0" applyNumberFormat="1" applyFont="1" applyBorder="1" applyAlignment="1">
      <alignment horizontal="center" vertical="center"/>
    </xf>
    <xf numFmtId="3" fontId="0" fillId="0" borderId="32" xfId="0" applyNumberFormat="1" applyFont="1" applyBorder="1" applyAlignment="1">
      <alignment horizontal="center" vertical="center"/>
    </xf>
    <xf numFmtId="3" fontId="10" fillId="9" borderId="1" xfId="0" applyNumberFormat="1" applyFont="1" applyFill="1" applyBorder="1" applyAlignment="1">
      <alignment horizontal="left" vertical="top"/>
    </xf>
    <xf numFmtId="3" fontId="10" fillId="9" borderId="27" xfId="0" applyNumberFormat="1" applyFont="1" applyFill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164" fontId="0" fillId="0" borderId="0" xfId="1" applyNumberFormat="1" applyFont="1"/>
    <xf numFmtId="10" fontId="0" fillId="0" borderId="0" xfId="1" applyNumberFormat="1" applyFont="1"/>
    <xf numFmtId="169" fontId="0" fillId="0" borderId="0" xfId="1" applyNumberFormat="1" applyFont="1" applyAlignment="1"/>
    <xf numFmtId="4" fontId="0" fillId="9" borderId="0" xfId="0" applyNumberFormat="1" applyFont="1" applyFill="1" applyBorder="1" applyAlignment="1">
      <alignment horizontal="center" vertical="center" wrapText="1"/>
    </xf>
    <xf numFmtId="3" fontId="10" fillId="9" borderId="0" xfId="0" applyNumberFormat="1" applyFont="1" applyFill="1" applyBorder="1" applyAlignment="1">
      <alignment horizontal="center" vertical="center"/>
    </xf>
    <xf numFmtId="3" fontId="0" fillId="4" borderId="1" xfId="0" applyNumberFormat="1" applyFont="1" applyFill="1" applyBorder="1" applyAlignment="1">
      <alignment horizontal="left" vertical="top"/>
    </xf>
    <xf numFmtId="3" fontId="0" fillId="4" borderId="2" xfId="0" applyNumberFormat="1" applyFont="1" applyFill="1" applyBorder="1" applyAlignment="1">
      <alignment horizontal="center" vertical="center"/>
    </xf>
    <xf numFmtId="3" fontId="0" fillId="4" borderId="1" xfId="0" applyNumberFormat="1" applyFill="1" applyBorder="1"/>
    <xf numFmtId="3" fontId="0" fillId="4" borderId="2" xfId="0" applyNumberFormat="1" applyFill="1" applyBorder="1"/>
    <xf numFmtId="3" fontId="0" fillId="4" borderId="27" xfId="0" applyNumberFormat="1" applyFill="1" applyBorder="1"/>
    <xf numFmtId="3" fontId="0" fillId="10" borderId="33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 vertical="top"/>
    </xf>
    <xf numFmtId="164" fontId="0" fillId="11" borderId="4" xfId="1" applyNumberFormat="1" applyFont="1" applyFill="1" applyBorder="1" applyAlignment="1">
      <alignment horizontal="center" vertical="center"/>
    </xf>
    <xf numFmtId="164" fontId="0" fillId="11" borderId="5" xfId="1" applyNumberFormat="1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0" fontId="0" fillId="4" borderId="1" xfId="1" applyNumberFormat="1" applyFont="1" applyFill="1" applyBorder="1" applyAlignment="1">
      <alignment horizontal="center" vertical="center"/>
    </xf>
    <xf numFmtId="10" fontId="0" fillId="4" borderId="2" xfId="1" applyNumberFormat="1" applyFont="1" applyFill="1" applyBorder="1" applyAlignment="1">
      <alignment horizontal="center" vertical="center"/>
    </xf>
    <xf numFmtId="10" fontId="0" fillId="4" borderId="27" xfId="1" applyNumberFormat="1" applyFont="1" applyFill="1" applyBorder="1" applyAlignment="1">
      <alignment horizontal="center" vertical="center"/>
    </xf>
    <xf numFmtId="3" fontId="0" fillId="0" borderId="34" xfId="0" applyNumberFormat="1" applyFont="1" applyBorder="1" applyAlignment="1">
      <alignment horizontal="center" vertical="center"/>
    </xf>
    <xf numFmtId="3" fontId="0" fillId="0" borderId="35" xfId="0" applyNumberFormat="1" applyFont="1" applyBorder="1" applyAlignment="1">
      <alignment horizontal="center" vertical="center"/>
    </xf>
    <xf numFmtId="3" fontId="0" fillId="0" borderId="36" xfId="0" applyNumberFormat="1" applyFont="1" applyBorder="1" applyAlignment="1">
      <alignment horizontal="center" vertical="center"/>
    </xf>
    <xf numFmtId="0" fontId="0" fillId="0" borderId="22" xfId="0" applyFont="1" applyBorder="1" applyAlignment="1"/>
    <xf numFmtId="0" fontId="0" fillId="0" borderId="22" xfId="0" applyFont="1" applyBorder="1" applyAlignment="1">
      <alignment horizontal="center"/>
    </xf>
    <xf numFmtId="0" fontId="13" fillId="13" borderId="41" xfId="0" applyFont="1" applyFill="1" applyBorder="1" applyAlignment="1">
      <alignment horizontal="center" vertical="center" wrapText="1"/>
    </xf>
    <xf numFmtId="0" fontId="11" fillId="14" borderId="42" xfId="0" applyFont="1" applyFill="1" applyBorder="1" applyAlignment="1">
      <alignment horizontal="center" vertical="center" wrapText="1"/>
    </xf>
    <xf numFmtId="0" fontId="11" fillId="14" borderId="43" xfId="0" applyFont="1" applyFill="1" applyBorder="1" applyAlignment="1">
      <alignment horizontal="center" vertical="center" wrapText="1"/>
    </xf>
    <xf numFmtId="10" fontId="14" fillId="0" borderId="0" xfId="0" applyNumberFormat="1" applyFont="1" applyAlignment="1">
      <alignment horizontal="right" vertical="center"/>
    </xf>
    <xf numFmtId="10" fontId="0" fillId="0" borderId="0" xfId="1" quotePrefix="1" applyNumberFormat="1" applyFont="1" applyAlignment="1">
      <alignment horizontal="right"/>
    </xf>
    <xf numFmtId="10" fontId="0" fillId="0" borderId="0" xfId="1" applyNumberFormat="1" applyFont="1" applyAlignment="1">
      <alignment horizontal="right"/>
    </xf>
    <xf numFmtId="3" fontId="1" fillId="0" borderId="3" xfId="0" applyNumberFormat="1" applyFont="1" applyBorder="1" applyAlignment="1">
      <alignment horizontal="center" vertical="center" textRotation="90" wrapText="1"/>
    </xf>
    <xf numFmtId="3" fontId="1" fillId="0" borderId="4" xfId="0" applyNumberFormat="1" applyFont="1" applyBorder="1" applyAlignment="1">
      <alignment horizontal="center" vertical="center" textRotation="90" wrapText="1"/>
    </xf>
    <xf numFmtId="3" fontId="1" fillId="0" borderId="5" xfId="0" applyNumberFormat="1" applyFont="1" applyBorder="1" applyAlignment="1">
      <alignment horizontal="center" vertical="center" textRotation="90" wrapText="1"/>
    </xf>
    <xf numFmtId="3" fontId="10" fillId="0" borderId="0" xfId="0" applyNumberFormat="1" applyFont="1" applyAlignment="1">
      <alignment horizontal="left" vertical="top" wrapText="1"/>
    </xf>
    <xf numFmtId="3" fontId="10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horizontal="left" vertical="center" wrapText="1"/>
    </xf>
    <xf numFmtId="0" fontId="12" fillId="13" borderId="37" xfId="0" applyFont="1" applyFill="1" applyBorder="1" applyAlignment="1">
      <alignment horizontal="center" vertical="center" wrapText="1"/>
    </xf>
    <xf numFmtId="0" fontId="12" fillId="13" borderId="38" xfId="0" applyFont="1" applyFill="1" applyBorder="1" applyAlignment="1">
      <alignment horizontal="center" vertical="center" wrapText="1"/>
    </xf>
    <xf numFmtId="0" fontId="12" fillId="13" borderId="39" xfId="0" applyFont="1" applyFill="1" applyBorder="1" applyAlignment="1">
      <alignment horizontal="center" vertical="center" wrapText="1"/>
    </xf>
    <xf numFmtId="0" fontId="12" fillId="13" borderId="44" xfId="0" applyFont="1" applyFill="1" applyBorder="1" applyAlignment="1">
      <alignment horizontal="center" vertical="center" wrapText="1"/>
    </xf>
    <xf numFmtId="0" fontId="12" fillId="13" borderId="40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wrapText="1"/>
    </xf>
    <xf numFmtId="0" fontId="1" fillId="10" borderId="2" xfId="0" applyFont="1" applyFill="1" applyBorder="1" applyAlignment="1">
      <alignment horizontal="center" wrapText="1"/>
    </xf>
    <xf numFmtId="0" fontId="1" fillId="10" borderId="27" xfId="0" applyFont="1" applyFill="1" applyBorder="1" applyAlignment="1">
      <alignment horizontal="center" wrapText="1"/>
    </xf>
    <xf numFmtId="0" fontId="1" fillId="12" borderId="1" xfId="0" applyFont="1" applyFill="1" applyBorder="1" applyAlignment="1">
      <alignment horizontal="center" wrapText="1"/>
    </xf>
    <xf numFmtId="0" fontId="1" fillId="12" borderId="2" xfId="0" applyFont="1" applyFill="1" applyBorder="1" applyAlignment="1">
      <alignment horizontal="center" wrapText="1"/>
    </xf>
    <xf numFmtId="0" fontId="1" fillId="12" borderId="2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27" xfId="0" applyFont="1" applyFill="1" applyBorder="1" applyAlignment="1">
      <alignment horizontal="center" wrapText="1"/>
    </xf>
    <xf numFmtId="0" fontId="15" fillId="13" borderId="45" xfId="0" applyFont="1" applyFill="1" applyBorder="1" applyAlignment="1">
      <alignment horizontal="center" vertical="center" wrapText="1"/>
    </xf>
    <xf numFmtId="0" fontId="15" fillId="13" borderId="46" xfId="0" applyFont="1" applyFill="1" applyBorder="1" applyAlignment="1">
      <alignment horizontal="center" vertical="center"/>
    </xf>
    <xf numFmtId="0" fontId="15" fillId="13" borderId="22" xfId="0" applyFont="1" applyFill="1" applyBorder="1" applyAlignment="1">
      <alignment horizontal="center" vertical="center" wrapText="1"/>
    </xf>
    <xf numFmtId="0" fontId="16" fillId="14" borderId="22" xfId="0" applyFont="1" applyFill="1" applyBorder="1" applyAlignment="1">
      <alignment horizontal="center" vertical="center"/>
    </xf>
    <xf numFmtId="0" fontId="15" fillId="13" borderId="1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14" borderId="22" xfId="0" applyFont="1" applyFill="1" applyBorder="1" applyAlignment="1">
      <alignment horizontal="center" vertical="center" wrapText="1"/>
    </xf>
    <xf numFmtId="0" fontId="15" fillId="13" borderId="42" xfId="0" applyFont="1" applyFill="1" applyBorder="1" applyAlignment="1">
      <alignment horizontal="center" vertical="center" wrapText="1"/>
    </xf>
    <xf numFmtId="0" fontId="16" fillId="14" borderId="4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13" borderId="47" xfId="0" applyFont="1" applyFill="1" applyBorder="1" applyAlignment="1">
      <alignment horizontal="center" vertical="center" wrapText="1"/>
    </xf>
    <xf numFmtId="0" fontId="16" fillId="14" borderId="48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rcentaje" xfId="1" builtinId="5"/>
  </cellStyles>
  <dxfs count="33">
    <dxf>
      <font>
        <b/>
        <i val="0"/>
        <color rgb="FFFF0000"/>
      </font>
      <fill>
        <patternFill>
          <bgColor theme="0" tint="-0.14996795556505021"/>
        </patternFill>
      </fill>
    </dxf>
    <dxf>
      <font>
        <b/>
        <i val="0"/>
        <color rgb="FFFF0000"/>
      </font>
      <fill>
        <patternFill>
          <bgColor theme="0" tint="-0.14996795556505021"/>
        </patternFill>
      </fill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0" tint="-0.14996795556505021"/>
        </patternFill>
      </fill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5"/>
  <sheetViews>
    <sheetView zoomScale="85" zoomScaleNormal="85" workbookViewId="0">
      <pane xSplit="2" ySplit="4" topLeftCell="C5" activePane="bottomRight" state="frozen"/>
      <selection activeCell="B25" sqref="B25"/>
      <selection pane="topRight" activeCell="B25" sqref="B25"/>
      <selection pane="bottomLeft" activeCell="B25" sqref="B25"/>
      <selection pane="bottomRight" activeCell="W22" sqref="W22"/>
    </sheetView>
  </sheetViews>
  <sheetFormatPr baseColWidth="10" defaultRowHeight="15" x14ac:dyDescent="0.25"/>
  <cols>
    <col min="1" max="1" width="7.5703125" style="9" customWidth="1"/>
    <col min="2" max="2" width="20.5703125" customWidth="1"/>
    <col min="3" max="3" width="9.140625" style="8" customWidth="1"/>
    <col min="4" max="4" width="11.7109375" style="8" customWidth="1"/>
    <col min="5" max="7" width="11.42578125" style="8"/>
    <col min="25" max="25" width="3.5703125" customWidth="1"/>
    <col min="26" max="26" width="7.5703125" style="8" customWidth="1"/>
    <col min="27" max="27" width="7.5703125" customWidth="1"/>
    <col min="29" max="29" width="5.28515625" customWidth="1"/>
    <col min="30" max="30" width="21.85546875" style="13" customWidth="1"/>
    <col min="31" max="31" width="11.42578125" style="16"/>
  </cols>
  <sheetData>
    <row r="1" spans="1:34" x14ac:dyDescent="0.25">
      <c r="C1" s="8" t="s">
        <v>55</v>
      </c>
      <c r="D1" s="8" t="s">
        <v>31</v>
      </c>
      <c r="E1" s="8" t="s">
        <v>32</v>
      </c>
    </row>
    <row r="2" spans="1:34" ht="15.75" thickBot="1" x14ac:dyDescent="0.3">
      <c r="B2" t="s">
        <v>79</v>
      </c>
      <c r="C2" s="74">
        <f ca="1">IF(MIN(D5:J59)&lt;0,MIN(D5:J59),0)</f>
        <v>-7.2475359047530219E-13</v>
      </c>
      <c r="D2" s="7">
        <f ca="1">MIN(Z15:Z59)</f>
        <v>0</v>
      </c>
      <c r="E2" s="7">
        <f ca="1">MIN(D62:J62)</f>
        <v>0</v>
      </c>
    </row>
    <row r="3" spans="1:34" ht="15.75" thickBot="1" x14ac:dyDescent="0.3">
      <c r="B3" s="17" t="s">
        <v>16</v>
      </c>
      <c r="C3" s="18"/>
      <c r="D3" s="19">
        <f ca="1">(D13-C13)+(D40+D50+D60)-D30</f>
        <v>0</v>
      </c>
      <c r="E3" s="19">
        <f t="shared" ref="E3:M3" ca="1" si="0">E13-E30+E40+E50+E60-D13</f>
        <v>0</v>
      </c>
      <c r="F3" s="19">
        <f t="shared" ca="1" si="0"/>
        <v>0</v>
      </c>
      <c r="G3" s="19">
        <f t="shared" ca="1" si="0"/>
        <v>0</v>
      </c>
      <c r="H3" s="19">
        <f t="shared" ca="1" si="0"/>
        <v>0</v>
      </c>
      <c r="I3" s="19">
        <f t="shared" ca="1" si="0"/>
        <v>0</v>
      </c>
      <c r="J3" s="19">
        <f t="shared" ca="1" si="0"/>
        <v>0</v>
      </c>
      <c r="K3" s="19">
        <f t="shared" ca="1" si="0"/>
        <v>0</v>
      </c>
      <c r="L3" s="19">
        <f t="shared" ca="1" si="0"/>
        <v>0</v>
      </c>
      <c r="M3" s="19">
        <f t="shared" ca="1" si="0"/>
        <v>0</v>
      </c>
      <c r="N3" s="19">
        <f t="shared" ref="N3" ca="1" si="1">N13-N30+N40+N50+N60-M13</f>
        <v>0</v>
      </c>
      <c r="O3" s="19">
        <f t="shared" ref="O3" ca="1" si="2">O13-O30+O40+O50+O60-N13</f>
        <v>0</v>
      </c>
      <c r="P3" s="19">
        <f t="shared" ref="P3" ca="1" si="3">P13-P30+P40+P50+P60-O13</f>
        <v>0</v>
      </c>
      <c r="Q3" s="19">
        <f t="shared" ref="Q3" ca="1" si="4">Q13-Q30+Q40+Q50+Q60-P13</f>
        <v>0</v>
      </c>
      <c r="R3" s="19">
        <f t="shared" ref="R3" ca="1" si="5">R13-R30+R40+R50+R60-Q13</f>
        <v>0</v>
      </c>
      <c r="S3" s="19">
        <f t="shared" ref="S3" ca="1" si="6">S13-S30+S40+S50+S60-R13</f>
        <v>0</v>
      </c>
      <c r="T3" s="19">
        <f t="shared" ref="T3" ca="1" si="7">T13-T30+T40+T50+T60-S13</f>
        <v>0</v>
      </c>
      <c r="U3" s="19">
        <f t="shared" ref="U3" ca="1" si="8">U13-U30+U40+U50+U60-T13</f>
        <v>0</v>
      </c>
      <c r="V3" s="19">
        <f t="shared" ref="V3" ca="1" si="9">V13-V30+V40+V50+V60-U13</f>
        <v>0</v>
      </c>
      <c r="W3" s="19">
        <f t="shared" ref="W3" ca="1" si="10">W13-W30+W40+W50+W60-V13</f>
        <v>0</v>
      </c>
      <c r="X3" s="19" t="e">
        <f t="shared" ref="X3" ca="1" si="11">X13-X30+X40+X50+X60-W13</f>
        <v>#VALUE!</v>
      </c>
    </row>
    <row r="4" spans="1:34" s="12" customFormat="1" ht="25.5" customHeight="1" thickBot="1" x14ac:dyDescent="0.3">
      <c r="A4" s="9"/>
      <c r="B4" s="8"/>
      <c r="C4" s="45">
        <v>0</v>
      </c>
      <c r="D4" s="25">
        <v>1</v>
      </c>
      <c r="E4" s="25">
        <v>2</v>
      </c>
      <c r="F4" s="25">
        <v>3</v>
      </c>
      <c r="G4" s="25">
        <v>4</v>
      </c>
      <c r="H4" s="25">
        <v>5</v>
      </c>
      <c r="I4" s="25">
        <v>6</v>
      </c>
      <c r="J4" s="25">
        <v>7</v>
      </c>
      <c r="K4" s="25">
        <v>8</v>
      </c>
      <c r="L4" s="25">
        <v>9</v>
      </c>
      <c r="M4" s="25">
        <v>10</v>
      </c>
      <c r="N4" s="25">
        <v>11</v>
      </c>
      <c r="O4" s="25">
        <v>12</v>
      </c>
      <c r="P4" s="25">
        <v>13</v>
      </c>
      <c r="Q4" s="25">
        <v>14</v>
      </c>
      <c r="R4" s="25">
        <v>15</v>
      </c>
      <c r="S4" s="25">
        <v>16</v>
      </c>
      <c r="T4" s="25">
        <v>17</v>
      </c>
      <c r="U4" s="25">
        <v>18</v>
      </c>
      <c r="V4" s="25">
        <v>19</v>
      </c>
      <c r="W4" s="25">
        <v>20</v>
      </c>
      <c r="X4" s="25">
        <v>21</v>
      </c>
      <c r="Y4"/>
      <c r="Z4" s="33" t="s">
        <v>33</v>
      </c>
      <c r="AA4"/>
      <c r="AB4" s="25" t="s">
        <v>88</v>
      </c>
      <c r="AC4" s="8"/>
      <c r="AD4" s="13"/>
      <c r="AE4" s="16"/>
      <c r="AF4" s="8"/>
      <c r="AG4" s="8"/>
      <c r="AH4" s="8"/>
    </row>
    <row r="5" spans="1:34" s="6" customFormat="1" ht="15.75" thickTop="1" x14ac:dyDescent="0.25">
      <c r="A5" s="175" t="s">
        <v>9</v>
      </c>
      <c r="B5" s="5" t="s">
        <v>0</v>
      </c>
      <c r="C5" s="46">
        <f>'Entradas 5.65'!I4</f>
        <v>76451.677355428925</v>
      </c>
      <c r="D5" s="3">
        <f ca="1">C5+SUM(D16:D18)-D32-D42-D52</f>
        <v>84676.679708957876</v>
      </c>
      <c r="E5" s="3">
        <f ca="1">D5+SUM(E16:E18)-E32-E42-E52</f>
        <v>92297.370100065207</v>
      </c>
      <c r="F5" s="3">
        <f t="shared" ref="F5:M5" ca="1" si="12">E5+SUM(F16:F18)-F32-F42-F52</f>
        <v>99702.616535883397</v>
      </c>
      <c r="G5" s="3">
        <f t="shared" ca="1" si="12"/>
        <v>107249.79265716326</v>
      </c>
      <c r="H5" s="3">
        <f t="shared" ca="1" si="12"/>
        <v>115323.11571752014</v>
      </c>
      <c r="I5" s="3">
        <f t="shared" ca="1" si="12"/>
        <v>119526.73058324039</v>
      </c>
      <c r="J5" s="3">
        <f t="shared" ca="1" si="12"/>
        <v>122826.28796874077</v>
      </c>
      <c r="K5" s="3">
        <f t="shared" ca="1" si="12"/>
        <v>121327.68110832748</v>
      </c>
      <c r="L5" s="3">
        <f t="shared" ca="1" si="12"/>
        <v>125196.74543735708</v>
      </c>
      <c r="M5" s="3">
        <f t="shared" ca="1" si="12"/>
        <v>124892.8747322433</v>
      </c>
      <c r="N5" s="3">
        <f t="shared" ref="N5:X5" ca="1" si="13">M5+SUM(N16:N18)-N32-N42-N52</f>
        <v>126770.2488124958</v>
      </c>
      <c r="O5" s="3">
        <f t="shared" ca="1" si="13"/>
        <v>128487.31580809677</v>
      </c>
      <c r="P5" s="3">
        <f t="shared" ca="1" si="13"/>
        <v>132577.56294757972</v>
      </c>
      <c r="Q5" s="3">
        <f t="shared" ca="1" si="13"/>
        <v>136207.18039817322</v>
      </c>
      <c r="R5" s="3">
        <f t="shared" ca="1" si="13"/>
        <v>135792.98193237919</v>
      </c>
      <c r="S5" s="3">
        <f t="shared" ca="1" si="13"/>
        <v>137509.63382600213</v>
      </c>
      <c r="T5" s="3">
        <f t="shared" ca="1" si="13"/>
        <v>143406.07783844124</v>
      </c>
      <c r="U5" s="3">
        <f t="shared" ca="1" si="13"/>
        <v>145301.16977463692</v>
      </c>
      <c r="V5" s="3">
        <f t="shared" ca="1" si="13"/>
        <v>146528.37665331905</v>
      </c>
      <c r="W5" s="3">
        <f t="shared" ca="1" si="13"/>
        <v>147466.61877995991</v>
      </c>
      <c r="X5" s="3" t="e">
        <f t="shared" ca="1" si="13"/>
        <v>#VALUE!</v>
      </c>
      <c r="Y5"/>
      <c r="Z5" s="34"/>
      <c r="AA5"/>
      <c r="AB5" s="3">
        <v>77611.926573242265</v>
      </c>
      <c r="AC5" s="3">
        <v>1</v>
      </c>
      <c r="AD5" s="14" t="s">
        <v>17</v>
      </c>
      <c r="AE5" s="14"/>
      <c r="AF5" s="3"/>
      <c r="AG5" s="3"/>
      <c r="AH5" s="3"/>
    </row>
    <row r="6" spans="1:34" s="6" customFormat="1" x14ac:dyDescent="0.25">
      <c r="A6" s="176"/>
      <c r="B6" s="2" t="s">
        <v>12</v>
      </c>
      <c r="C6" s="44">
        <f>'Entradas 5.65'!I5</f>
        <v>2111.6919277867255</v>
      </c>
      <c r="D6" s="3">
        <f ca="1">C7-D17</f>
        <v>2111.4499184874658</v>
      </c>
      <c r="E6" s="3">
        <f ca="1">D7-E17</f>
        <v>2111.3655078419706</v>
      </c>
      <c r="F6" s="3">
        <f t="shared" ref="F6:M6" ca="1" si="14">E7-F17</f>
        <v>2111.5703832515665</v>
      </c>
      <c r="G6" s="3">
        <f t="shared" ca="1" si="14"/>
        <v>2111.3816857588936</v>
      </c>
      <c r="H6" s="3">
        <f t="shared" ca="1" si="14"/>
        <v>2499.7166593034854</v>
      </c>
      <c r="I6" s="3">
        <f t="shared" ca="1" si="14"/>
        <v>2520.8112675347511</v>
      </c>
      <c r="J6" s="3">
        <f t="shared" ca="1" si="14"/>
        <v>2813.7592949016725</v>
      </c>
      <c r="K6" s="3">
        <f t="shared" ca="1" si="14"/>
        <v>2996.6427455521189</v>
      </c>
      <c r="L6" s="3">
        <f t="shared" ca="1" si="14"/>
        <v>3211.2716105570507</v>
      </c>
      <c r="M6" s="3">
        <f t="shared" ca="1" si="14"/>
        <v>3269.0063071210352</v>
      </c>
      <c r="N6" s="3">
        <f t="shared" ref="N6:X6" ca="1" si="15">M7-N17</f>
        <v>3405.9928308047602</v>
      </c>
      <c r="O6" s="3">
        <f t="shared" ca="1" si="15"/>
        <v>3264.7969689336187</v>
      </c>
      <c r="P6" s="3">
        <f t="shared" ca="1" si="15"/>
        <v>3579.154978205228</v>
      </c>
      <c r="Q6" s="3">
        <f t="shared" ca="1" si="15"/>
        <v>3336.8103303182961</v>
      </c>
      <c r="R6" s="3">
        <f t="shared" ca="1" si="15"/>
        <v>3581.354280547208</v>
      </c>
      <c r="S6" s="3">
        <f t="shared" ca="1" si="15"/>
        <v>3534.8393128780535</v>
      </c>
      <c r="T6" s="3">
        <f t="shared" ca="1" si="15"/>
        <v>3705.8598517213268</v>
      </c>
      <c r="U6" s="3">
        <f t="shared" ca="1" si="15"/>
        <v>3774.8605745838704</v>
      </c>
      <c r="V6" s="3">
        <f t="shared" ca="1" si="15"/>
        <v>3679.1187661725944</v>
      </c>
      <c r="W6" s="3">
        <f t="shared" ca="1" si="15"/>
        <v>3871.8799096301573</v>
      </c>
      <c r="X6" s="3">
        <f t="shared" ca="1" si="15"/>
        <v>19746.584897087352</v>
      </c>
      <c r="Y6"/>
      <c r="Z6" s="34"/>
      <c r="AA6"/>
      <c r="AB6" s="3">
        <v>1611.5424091571001</v>
      </c>
      <c r="AC6" s="3">
        <v>2</v>
      </c>
      <c r="AD6" s="14" t="s">
        <v>18</v>
      </c>
      <c r="AE6" s="14"/>
      <c r="AF6" s="3"/>
      <c r="AG6" s="3"/>
      <c r="AH6" s="3"/>
    </row>
    <row r="7" spans="1:34" s="6" customFormat="1" x14ac:dyDescent="0.25">
      <c r="A7" s="176"/>
      <c r="B7" s="5" t="s">
        <v>4</v>
      </c>
      <c r="C7" s="44">
        <f>'Entradas 5.65'!I6</f>
        <v>10386.971373204462</v>
      </c>
      <c r="D7" s="3">
        <f ca="1">C8-D18-D34-D44-D54</f>
        <v>10386.556127287104</v>
      </c>
      <c r="E7" s="3">
        <f ca="1">D8-E18-E34-E44-E54</f>
        <v>10387.563982124631</v>
      </c>
      <c r="F7" s="3">
        <f t="shared" ref="F7:M7" ca="1" si="16">E8-F18-F34-F44-F54</f>
        <v>10386.635712200999</v>
      </c>
      <c r="G7" s="3">
        <f t="shared" ca="1" si="16"/>
        <v>12296.993243347777</v>
      </c>
      <c r="H7" s="3">
        <f t="shared" ca="1" si="16"/>
        <v>12400.765106420937</v>
      </c>
      <c r="I7" s="3">
        <f t="shared" ca="1" si="16"/>
        <v>13841.88040233886</v>
      </c>
      <c r="J7" s="3">
        <f t="shared" ca="1" si="16"/>
        <v>14741.548990216059</v>
      </c>
      <c r="K7" s="3">
        <f t="shared" ca="1" si="16"/>
        <v>15797.384535804835</v>
      </c>
      <c r="L7" s="3">
        <f t="shared" ca="1" si="16"/>
        <v>16081.401994708309</v>
      </c>
      <c r="M7" s="3">
        <f t="shared" ca="1" si="16"/>
        <v>16755.287312829849</v>
      </c>
      <c r="N7" s="3">
        <f t="shared" ref="N7:X7" ca="1" si="17">M8-N18-N34-N44-N54</f>
        <v>16060.694766528277</v>
      </c>
      <c r="O7" s="3">
        <f t="shared" ca="1" si="17"/>
        <v>17607.133360525699</v>
      </c>
      <c r="P7" s="3">
        <f t="shared" ca="1" si="17"/>
        <v>16414.954044307739</v>
      </c>
      <c r="Q7" s="3">
        <f t="shared" ca="1" si="17"/>
        <v>17617.95250914351</v>
      </c>
      <c r="R7" s="3">
        <f t="shared" ca="1" si="17"/>
        <v>17389.128877867839</v>
      </c>
      <c r="S7" s="3">
        <f t="shared" ca="1" si="17"/>
        <v>18230.439593145227</v>
      </c>
      <c r="T7" s="3">
        <f t="shared" ca="1" si="17"/>
        <v>18569.878633033546</v>
      </c>
      <c r="U7" s="3">
        <f t="shared" ca="1" si="17"/>
        <v>18098.890704558722</v>
      </c>
      <c r="V7" s="3">
        <f t="shared" ca="1" si="17"/>
        <v>19047.15116834189</v>
      </c>
      <c r="W7" s="3">
        <f t="shared" ca="1" si="17"/>
        <v>19746.584897087352</v>
      </c>
      <c r="X7" s="3">
        <f t="shared" ca="1" si="17"/>
        <v>8695.3306215067714</v>
      </c>
      <c r="Y7"/>
      <c r="Z7" s="34"/>
      <c r="AA7"/>
      <c r="AB7" s="3">
        <v>9034.3887068938839</v>
      </c>
      <c r="AC7" s="3">
        <v>3</v>
      </c>
      <c r="AD7" s="14" t="s">
        <v>19</v>
      </c>
      <c r="AE7" s="14"/>
      <c r="AF7" s="3"/>
      <c r="AG7" s="3"/>
      <c r="AH7" s="3"/>
    </row>
    <row r="8" spans="1:34" s="6" customFormat="1" x14ac:dyDescent="0.25">
      <c r="A8" s="176"/>
      <c r="B8" s="5" t="s">
        <v>73</v>
      </c>
      <c r="C8" s="44">
        <f>'Entradas 5.65'!I7</f>
        <v>12556.862989329104</v>
      </c>
      <c r="D8" s="3">
        <f t="shared" ref="D8" ca="1" si="18">C9-D19-D35-D45-D55</f>
        <v>12557.853833370338</v>
      </c>
      <c r="E8" s="3">
        <f t="shared" ref="E8:M8" ca="1" si="19">D9-E19-E35-E45-E55</f>
        <v>12557.041252146208</v>
      </c>
      <c r="F8" s="3">
        <f t="shared" ca="1" si="19"/>
        <v>14560.886950425582</v>
      </c>
      <c r="G8" s="3">
        <f t="shared" ca="1" si="19"/>
        <v>14975.272194171201</v>
      </c>
      <c r="H8" s="3">
        <f t="shared" ca="1" si="19"/>
        <v>16503.620521874509</v>
      </c>
      <c r="I8" s="3">
        <f t="shared" ca="1" si="19"/>
        <v>17677.866787015617</v>
      </c>
      <c r="J8" s="3">
        <f t="shared" ca="1" si="19"/>
        <v>18929.340006786002</v>
      </c>
      <c r="K8" s="3">
        <f t="shared" ca="1" si="19"/>
        <v>19396.140360993522</v>
      </c>
      <c r="L8" s="3">
        <f t="shared" ca="1" si="19"/>
        <v>20148.479759954502</v>
      </c>
      <c r="M8" s="3">
        <f t="shared" ca="1" si="19"/>
        <v>19527.617308365214</v>
      </c>
      <c r="N8" s="3">
        <f t="shared" ref="N8:X8" ca="1" si="20">M9-N19-N35-N45-N55</f>
        <v>21038.767498597903</v>
      </c>
      <c r="O8" s="3">
        <f t="shared" ca="1" si="20"/>
        <v>20035.477986899539</v>
      </c>
      <c r="P8" s="3">
        <f t="shared" ca="1" si="20"/>
        <v>21106.774285365958</v>
      </c>
      <c r="Q8" s="3">
        <f t="shared" ca="1" si="20"/>
        <v>21059.132557004268</v>
      </c>
      <c r="R8" s="3">
        <f t="shared" ca="1" si="20"/>
        <v>21905.084133963199</v>
      </c>
      <c r="S8" s="3">
        <f t="shared" ca="1" si="20"/>
        <v>22395.713222128496</v>
      </c>
      <c r="T8" s="3">
        <f t="shared" ca="1" si="20"/>
        <v>21955.926815972962</v>
      </c>
      <c r="U8" s="3">
        <f t="shared" ca="1" si="20"/>
        <v>22875.340529198118</v>
      </c>
      <c r="V8" s="3">
        <f t="shared" ca="1" si="20"/>
        <v>23760.714200319919</v>
      </c>
      <c r="W8" s="3">
        <f t="shared" ca="1" si="20"/>
        <v>23505.269294322286</v>
      </c>
      <c r="X8" s="3">
        <f t="shared" ca="1" si="20"/>
        <v>23733.688066547773</v>
      </c>
      <c r="Y8" s="3"/>
      <c r="Z8" s="34"/>
      <c r="AA8"/>
      <c r="AB8" s="3">
        <v>21152.084030743114</v>
      </c>
      <c r="AC8" s="3">
        <v>4</v>
      </c>
      <c r="AD8" s="14" t="s">
        <v>22</v>
      </c>
      <c r="AE8" s="14"/>
      <c r="AF8" s="3"/>
      <c r="AG8" s="3"/>
      <c r="AH8" s="3"/>
    </row>
    <row r="9" spans="1:34" s="6" customFormat="1" x14ac:dyDescent="0.25">
      <c r="A9" s="176"/>
      <c r="B9" s="5" t="s">
        <v>2</v>
      </c>
      <c r="C9" s="44">
        <f>'Entradas 5.65'!I8</f>
        <v>21729.351575624558</v>
      </c>
      <c r="D9" s="3">
        <f ca="1">D26-D36-D46-D56</f>
        <v>21729.251406993873</v>
      </c>
      <c r="E9" s="3">
        <f t="shared" ref="E9:M9" ca="1" si="21">E26-E36-E46-E56</f>
        <v>23745.06076476194</v>
      </c>
      <c r="F9" s="3">
        <f t="shared" ca="1" si="21"/>
        <v>25613.09196334302</v>
      </c>
      <c r="G9" s="3">
        <f t="shared" ca="1" si="21"/>
        <v>27451.083771079931</v>
      </c>
      <c r="H9" s="3">
        <f t="shared" ca="1" si="21"/>
        <v>29739.412548181994</v>
      </c>
      <c r="I9" s="3">
        <f t="shared" ca="1" si="21"/>
        <v>31849.035137120689</v>
      </c>
      <c r="J9" s="3">
        <f t="shared" ca="1" si="21"/>
        <v>33224.99224007134</v>
      </c>
      <c r="K9" s="3">
        <f t="shared" ca="1" si="21"/>
        <v>34320.069701123961</v>
      </c>
      <c r="L9" s="3">
        <f t="shared" ca="1" si="21"/>
        <v>34240.111751274155</v>
      </c>
      <c r="M9" s="3">
        <f t="shared" ca="1" si="21"/>
        <v>35311.140956584961</v>
      </c>
      <c r="N9" s="3">
        <f t="shared" ref="N9:X9" ca="1" si="22">N26-N36-N46-N56</f>
        <v>35395.840153030673</v>
      </c>
      <c r="O9" s="3">
        <f t="shared" ca="1" si="22"/>
        <v>35747.332275101042</v>
      </c>
      <c r="P9" s="3">
        <f t="shared" ca="1" si="22"/>
        <v>36475.152828467959</v>
      </c>
      <c r="Q9" s="3">
        <f t="shared" ca="1" si="22"/>
        <v>37291.904505846287</v>
      </c>
      <c r="R9" s="3">
        <f t="shared" ca="1" si="22"/>
        <v>38398.188113035409</v>
      </c>
      <c r="S9" s="3">
        <f t="shared" ca="1" si="22"/>
        <v>38310.927466928813</v>
      </c>
      <c r="T9" s="3">
        <f t="shared" ca="1" si="22"/>
        <v>38917.636652303248</v>
      </c>
      <c r="U9" s="3">
        <f t="shared" ca="1" si="22"/>
        <v>40474.333856903337</v>
      </c>
      <c r="V9" s="3">
        <f t="shared" ca="1" si="22"/>
        <v>40858.416895904513</v>
      </c>
      <c r="W9" s="3">
        <f t="shared" ca="1" si="22"/>
        <v>41362.640037289486</v>
      </c>
      <c r="X9" s="3">
        <f t="shared" ca="1" si="22"/>
        <v>0</v>
      </c>
      <c r="Y9" s="3"/>
      <c r="Z9" s="34"/>
      <c r="AA9"/>
      <c r="AB9" s="3">
        <v>26680.175416721773</v>
      </c>
      <c r="AC9" s="3">
        <v>5</v>
      </c>
      <c r="AD9" s="14" t="s">
        <v>23</v>
      </c>
      <c r="AE9" s="14"/>
      <c r="AF9" s="3"/>
      <c r="AG9" s="3"/>
      <c r="AH9" s="3"/>
    </row>
    <row r="10" spans="1:34" s="6" customFormat="1" x14ac:dyDescent="0.25">
      <c r="A10" s="176"/>
      <c r="B10" s="5" t="s">
        <v>6</v>
      </c>
      <c r="C10" s="44">
        <f>'Entradas 5.65'!I9</f>
        <v>-8.0291329140891321E-13</v>
      </c>
      <c r="D10" s="3">
        <f ca="1">C11-D37-D47-D57</f>
        <v>6.9633188104489818E-13</v>
      </c>
      <c r="E10" s="3">
        <f t="shared" ref="E10:M10" ca="1" si="23">D11-E37-E47-E57</f>
        <v>-2.9842794901924208E-13</v>
      </c>
      <c r="F10" s="3">
        <f t="shared" ca="1" si="23"/>
        <v>6.4659388954169117E-13</v>
      </c>
      <c r="G10" s="3">
        <f t="shared" ca="1" si="23"/>
        <v>-5.2580162446247414E-13</v>
      </c>
      <c r="H10" s="3">
        <f t="shared" ca="1" si="23"/>
        <v>6.2527760746888816E-13</v>
      </c>
      <c r="I10" s="3">
        <f t="shared" ca="1" si="23"/>
        <v>-7.2475359047530219E-13</v>
      </c>
      <c r="J10" s="3">
        <f t="shared" ca="1" si="23"/>
        <v>1.5631940186722204E-13</v>
      </c>
      <c r="K10" s="3">
        <f t="shared" ca="1" si="23"/>
        <v>5.9685589803848416E-13</v>
      </c>
      <c r="L10" s="3">
        <f t="shared" ca="1" si="23"/>
        <v>9.9475983006414026E-13</v>
      </c>
      <c r="M10" s="3">
        <f t="shared" ca="1" si="23"/>
        <v>1.6200374375330284E-12</v>
      </c>
      <c r="N10" s="3">
        <f t="shared" ref="N10:X10" ca="1" si="24">M11-N37-N47-N57</f>
        <v>1.1795009413617663E-12</v>
      </c>
      <c r="O10" s="3">
        <f t="shared" ca="1" si="24"/>
        <v>-1.5916157281026244E-12</v>
      </c>
      <c r="P10" s="3">
        <f t="shared" ca="1" si="24"/>
        <v>9.2370555648813024E-13</v>
      </c>
      <c r="Q10" s="3">
        <f t="shared" ca="1" si="24"/>
        <v>1.1226575225009583E-12</v>
      </c>
      <c r="R10" s="3">
        <f t="shared" ca="1" si="24"/>
        <v>-3.979039320256561E-13</v>
      </c>
      <c r="S10" s="3">
        <f t="shared" ca="1" si="24"/>
        <v>0</v>
      </c>
      <c r="T10" s="3">
        <f t="shared" ca="1" si="24"/>
        <v>6.6791017161449417E-13</v>
      </c>
      <c r="U10" s="3">
        <f t="shared" ca="1" si="24"/>
        <v>-2.2737367544323206E-13</v>
      </c>
      <c r="V10" s="3">
        <f t="shared" ca="1" si="24"/>
        <v>-7.673861546209082E-13</v>
      </c>
      <c r="W10" s="3">
        <f t="shared" ca="1" si="24"/>
        <v>-1.0231815394945443E-12</v>
      </c>
      <c r="X10" s="3">
        <f t="shared" ca="1" si="24"/>
        <v>0</v>
      </c>
      <c r="Y10" s="3"/>
      <c r="Z10" s="34"/>
      <c r="AA10"/>
      <c r="AB10" s="3">
        <v>-8.8107299234252423E-13</v>
      </c>
      <c r="AC10" s="3">
        <v>6</v>
      </c>
      <c r="AD10" s="14" t="s">
        <v>24</v>
      </c>
      <c r="AE10" s="14"/>
      <c r="AF10" s="3"/>
      <c r="AG10" s="3"/>
      <c r="AH10" s="3"/>
    </row>
    <row r="11" spans="1:34" s="6" customFormat="1" x14ac:dyDescent="0.25">
      <c r="A11" s="176"/>
      <c r="B11" s="5" t="s">
        <v>5</v>
      </c>
      <c r="C11" s="44">
        <f>'Entradas 5.65'!I10</f>
        <v>12477.100786217703</v>
      </c>
      <c r="D11" s="3">
        <f ca="1">C12-D38-D48-D58</f>
        <v>12477.41301308736</v>
      </c>
      <c r="E11" s="3">
        <f t="shared" ref="E11:M11" ca="1" si="25">D12-E38-E48-E58</f>
        <v>12477.355494326543</v>
      </c>
      <c r="F11" s="3">
        <f t="shared" ca="1" si="25"/>
        <v>13634.872129141064</v>
      </c>
      <c r="G11" s="3">
        <f t="shared" ca="1" si="25"/>
        <v>14707.531693091203</v>
      </c>
      <c r="H11" s="3">
        <f t="shared" ca="1" si="25"/>
        <v>15762.942059111083</v>
      </c>
      <c r="I11" s="3">
        <f t="shared" ca="1" si="25"/>
        <v>17076.944603653872</v>
      </c>
      <c r="J11" s="3">
        <f t="shared" ca="1" si="25"/>
        <v>18288.330606237345</v>
      </c>
      <c r="K11" s="3">
        <f t="shared" ca="1" si="25"/>
        <v>19078.431728309737</v>
      </c>
      <c r="L11" s="3">
        <f t="shared" ca="1" si="25"/>
        <v>19707.246339519959</v>
      </c>
      <c r="M11" s="3">
        <f t="shared" ca="1" si="25"/>
        <v>19661.33294166805</v>
      </c>
      <c r="N11" s="3">
        <f t="shared" ref="N11:X11" ca="1" si="26">M12-N38-N48-N58</f>
        <v>20276.338580342177</v>
      </c>
      <c r="O11" s="3">
        <f t="shared" ca="1" si="26"/>
        <v>20324.9744934872</v>
      </c>
      <c r="P11" s="3">
        <f t="shared" ca="1" si="26"/>
        <v>20526.808053161305</v>
      </c>
      <c r="Q11" s="3">
        <f t="shared" ca="1" si="26"/>
        <v>20944.736660564398</v>
      </c>
      <c r="R11" s="3">
        <f t="shared" ca="1" si="26"/>
        <v>21413.731235589508</v>
      </c>
      <c r="S11" s="3">
        <f t="shared" ca="1" si="26"/>
        <v>22048.980632170274</v>
      </c>
      <c r="T11" s="3">
        <f t="shared" ca="1" si="26"/>
        <v>21998.873885198482</v>
      </c>
      <c r="U11" s="3">
        <f t="shared" ca="1" si="26"/>
        <v>22347.258007863358</v>
      </c>
      <c r="V11" s="3">
        <f t="shared" ca="1" si="26"/>
        <v>23241.143584269728</v>
      </c>
      <c r="W11" s="3">
        <f t="shared" ca="1" si="26"/>
        <v>23461.691477393026</v>
      </c>
      <c r="X11" s="3">
        <f t="shared" ca="1" si="26"/>
        <v>39911.31933422669</v>
      </c>
      <c r="Y11" s="3"/>
      <c r="Z11" s="34"/>
      <c r="AA11"/>
      <c r="AB11" s="3">
        <v>16275.531101870849</v>
      </c>
      <c r="AC11" s="3">
        <v>7</v>
      </c>
      <c r="AD11" s="14" t="s">
        <v>25</v>
      </c>
      <c r="AE11" s="14" t="s">
        <v>26</v>
      </c>
      <c r="AF11" s="3"/>
      <c r="AG11" s="3"/>
      <c r="AH11" s="3"/>
    </row>
    <row r="12" spans="1:34" s="6" customFormat="1" ht="15.75" thickBot="1" x14ac:dyDescent="0.3">
      <c r="A12" s="177"/>
      <c r="B12" s="5" t="s">
        <v>1</v>
      </c>
      <c r="C12" s="47">
        <f>'Entradas 5.65'!I11</f>
        <v>20966.918187006151</v>
      </c>
      <c r="D12" s="3">
        <f ca="1">D29-D39-D49-D59</f>
        <v>20966.821533064263</v>
      </c>
      <c r="E12" s="3">
        <f t="shared" ref="E12:M12" ca="1" si="27">E29-E39-E49-E59</f>
        <v>22911.900737928187</v>
      </c>
      <c r="F12" s="3">
        <f t="shared" ca="1" si="27"/>
        <v>24714.386982173088</v>
      </c>
      <c r="G12" s="3">
        <f t="shared" ca="1" si="27"/>
        <v>26487.887849287654</v>
      </c>
      <c r="H12" s="3">
        <f t="shared" ca="1" si="27"/>
        <v>28695.924388596661</v>
      </c>
      <c r="I12" s="3">
        <f t="shared" ca="1" si="27"/>
        <v>30731.525132309438</v>
      </c>
      <c r="J12" s="3">
        <f t="shared" ca="1" si="27"/>
        <v>32059.203038665331</v>
      </c>
      <c r="K12" s="3">
        <f t="shared" ca="1" si="27"/>
        <v>33115.856729154693</v>
      </c>
      <c r="L12" s="3">
        <f t="shared" ca="1" si="27"/>
        <v>33038.70432140489</v>
      </c>
      <c r="M12" s="3">
        <f t="shared" ca="1" si="27"/>
        <v>34072.153554599521</v>
      </c>
      <c r="N12" s="3">
        <f t="shared" ref="N12:X12" ca="1" si="28">N29-N39-N49-N59</f>
        <v>34153.88084941556</v>
      </c>
      <c r="O12" s="3">
        <f t="shared" ca="1" si="28"/>
        <v>34493.039914571178</v>
      </c>
      <c r="P12" s="3">
        <f t="shared" ca="1" si="28"/>
        <v>35195.322904662069</v>
      </c>
      <c r="Q12" s="3">
        <f t="shared" ca="1" si="28"/>
        <v>35983.416628448176</v>
      </c>
      <c r="R12" s="3">
        <f t="shared" ca="1" si="28"/>
        <v>37050.883266963996</v>
      </c>
      <c r="S12" s="3">
        <f t="shared" ca="1" si="28"/>
        <v>36966.68439791377</v>
      </c>
      <c r="T12" s="3">
        <f t="shared" ca="1" si="28"/>
        <v>37552.105541696117</v>
      </c>
      <c r="U12" s="3">
        <f t="shared" ca="1" si="28"/>
        <v>39054.18179174883</v>
      </c>
      <c r="V12" s="3">
        <f t="shared" ca="1" si="28"/>
        <v>39424.788232890314</v>
      </c>
      <c r="W12" s="3">
        <f t="shared" ca="1" si="28"/>
        <v>39911.31933422669</v>
      </c>
      <c r="X12" s="3">
        <f t="shared" ca="1" si="28"/>
        <v>0</v>
      </c>
      <c r="Y12" s="3"/>
      <c r="Z12" s="34"/>
      <c r="AA12"/>
      <c r="AB12" s="3">
        <v>21843.418469830693</v>
      </c>
      <c r="AC12" s="3">
        <v>8</v>
      </c>
      <c r="AD12" s="14" t="s">
        <v>28</v>
      </c>
      <c r="AE12" s="14" t="s">
        <v>27</v>
      </c>
      <c r="AF12" s="3"/>
      <c r="AG12" s="3"/>
      <c r="AH12" s="3"/>
    </row>
    <row r="13" spans="1:34" s="6" customFormat="1" ht="15.75" thickBot="1" x14ac:dyDescent="0.3">
      <c r="A13" s="5"/>
      <c r="B13" s="72" t="s">
        <v>21</v>
      </c>
      <c r="C13" s="73">
        <f t="shared" ref="C13:D13" si="29">SUM(C5:C12)</f>
        <v>156680.57419459763</v>
      </c>
      <c r="D13" s="73">
        <f t="shared" ca="1" si="29"/>
        <v>164906.02554124827</v>
      </c>
      <c r="E13" s="73">
        <f t="shared" ref="E13:M13" ca="1" si="30">SUM(E5:E12)</f>
        <v>176487.6578391947</v>
      </c>
      <c r="F13" s="73">
        <f ca="1">SUM(F5:F12)</f>
        <v>190724.0606564187</v>
      </c>
      <c r="G13" s="73">
        <f t="shared" ca="1" si="30"/>
        <v>205279.94309389993</v>
      </c>
      <c r="H13" s="73">
        <f t="shared" ca="1" si="30"/>
        <v>220925.49700100883</v>
      </c>
      <c r="I13" s="73">
        <f t="shared" ca="1" si="30"/>
        <v>233224.79391321362</v>
      </c>
      <c r="J13" s="73">
        <f t="shared" ca="1" si="30"/>
        <v>242883.46214561848</v>
      </c>
      <c r="K13" s="73">
        <f t="shared" ca="1" si="30"/>
        <v>246032.20690926636</v>
      </c>
      <c r="L13" s="73">
        <f t="shared" ca="1" si="30"/>
        <v>251623.96121477595</v>
      </c>
      <c r="M13" s="73">
        <f t="shared" ca="1" si="30"/>
        <v>253489.41311341195</v>
      </c>
      <c r="N13" s="73">
        <f t="shared" ref="N13:X13" ca="1" si="31">SUM(N5:N12)</f>
        <v>257101.76349121516</v>
      </c>
      <c r="O13" s="73">
        <f t="shared" ca="1" si="31"/>
        <v>259960.07080761509</v>
      </c>
      <c r="P13" s="73">
        <f t="shared" ca="1" si="31"/>
        <v>265875.73004174995</v>
      </c>
      <c r="Q13" s="73">
        <f t="shared" ca="1" si="31"/>
        <v>272441.13358949817</v>
      </c>
      <c r="R13" s="73">
        <f t="shared" ca="1" si="31"/>
        <v>275531.35184034635</v>
      </c>
      <c r="S13" s="73">
        <f t="shared" ca="1" si="31"/>
        <v>278997.21845116676</v>
      </c>
      <c r="T13" s="73">
        <f t="shared" ca="1" si="31"/>
        <v>286106.35921836691</v>
      </c>
      <c r="U13" s="73">
        <f t="shared" ca="1" si="31"/>
        <v>291926.03523949318</v>
      </c>
      <c r="V13" s="73">
        <f t="shared" ca="1" si="31"/>
        <v>296539.70950121805</v>
      </c>
      <c r="W13" s="73">
        <f t="shared" ca="1" si="31"/>
        <v>299326.00372990896</v>
      </c>
      <c r="X13" s="73" t="e">
        <f t="shared" ca="1" si="31"/>
        <v>#VALUE!</v>
      </c>
      <c r="Y13" s="26"/>
      <c r="Z13" s="34"/>
      <c r="AA13"/>
      <c r="AB13" s="73">
        <v>174209.06670845964</v>
      </c>
      <c r="AC13" s="3">
        <v>9</v>
      </c>
      <c r="AD13" s="14" t="s">
        <v>29</v>
      </c>
      <c r="AE13" s="14"/>
      <c r="AF13" s="3"/>
      <c r="AG13" s="3"/>
      <c r="AH13" s="3"/>
    </row>
    <row r="14" spans="1:34" s="6" customFormat="1" ht="15.75" thickBot="1" x14ac:dyDescent="0.3">
      <c r="A14" s="10"/>
      <c r="B14" s="1"/>
      <c r="C14" s="7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"/>
      <c r="Z14" s="35"/>
      <c r="AA14"/>
      <c r="AB14" s="75"/>
      <c r="AC14" s="7"/>
      <c r="AD14" s="15"/>
      <c r="AE14" s="14"/>
    </row>
    <row r="15" spans="1:34" s="6" customFormat="1" ht="15.75" thickBot="1" x14ac:dyDescent="0.3">
      <c r="A15" s="175" t="s">
        <v>15</v>
      </c>
      <c r="B15" s="5" t="s">
        <v>0</v>
      </c>
      <c r="D15" s="7">
        <f ca="1">C5*'Entradas 5.65'!K14*'Entradas 5.65'!K20</f>
        <v>65748.44252566887</v>
      </c>
      <c r="E15" s="7">
        <f ca="1">D5*'Entradas 5.65'!L14*'Entradas 5.65'!L20</f>
        <v>72821.944549703767</v>
      </c>
      <c r="F15" s="7">
        <f ca="1">E5*'Entradas 5.65'!M14*'Entradas 5.65'!M20</f>
        <v>79375.738286056076</v>
      </c>
      <c r="G15" s="7">
        <f ca="1">F5*'Entradas 5.65'!N14*'Entradas 5.65'!N20</f>
        <v>85744.250220859714</v>
      </c>
      <c r="H15" s="7">
        <f ca="1">G5*'Entradas 5.65'!O14*'Entradas 5.65'!O20</f>
        <v>92234.821685160394</v>
      </c>
      <c r="I15" s="7">
        <f ca="1">H5*'Entradas 5.65'!P14*'Entradas 5.65'!P20</f>
        <v>99177.879517067311</v>
      </c>
      <c r="J15" s="7">
        <f ca="1">I5*'Entradas 5.65'!Q14*'Entradas 5.65'!Q20</f>
        <v>102792.98830158674</v>
      </c>
      <c r="K15" s="7">
        <f ca="1">J5*'Entradas 5.65'!R14*'Entradas 5.65'!R20</f>
        <v>105630.60765311705</v>
      </c>
      <c r="L15" s="7">
        <f ca="1">K5*'Entradas 5.65'!S14*'Entradas 5.65'!S20</f>
        <v>104341.80575316164</v>
      </c>
      <c r="M15" s="7">
        <f ca="1">L5*'Entradas 5.65'!T14*'Entradas 5.65'!T20</f>
        <v>107669.20107612709</v>
      </c>
      <c r="N15" s="7">
        <f ca="1">M5*'Entradas 5.65'!U14*'Entradas 5.65'!U20</f>
        <v>107407.87226972924</v>
      </c>
      <c r="O15" s="7">
        <f ca="1">N5*'Entradas 5.65'!V14*'Entradas 5.65'!V20</f>
        <v>109022.41397874639</v>
      </c>
      <c r="P15" s="7">
        <f ca="1">O5*'Entradas 5.65'!W14*'Entradas 5.65'!W20</f>
        <v>110499.09159496322</v>
      </c>
      <c r="Q15" s="7">
        <f ca="1">P5*'Entradas 5.65'!X14*'Entradas 5.65'!X20</f>
        <v>114016.70413491856</v>
      </c>
      <c r="R15" s="7">
        <f ca="1">Q5*'Entradas 5.65'!Y14*'Entradas 5.65'!Y20</f>
        <v>117138.17514242897</v>
      </c>
      <c r="S15" s="7">
        <f ca="1">R5*'Entradas 5.65'!Z14*'Entradas 5.65'!Z20</f>
        <v>116781.9644618461</v>
      </c>
      <c r="T15" s="7">
        <f ca="1">S5*'Entradas 5.65'!AA14*'Entradas 5.65'!AA20</f>
        <v>118258.28509036182</v>
      </c>
      <c r="U15" s="7">
        <f ca="1">T5*'Entradas 5.65'!AB14*'Entradas 5.65'!AB20</f>
        <v>123329.22694105946</v>
      </c>
      <c r="V15" s="7">
        <f ca="1">U5*'Entradas 5.65'!AC14*'Entradas 5.65'!AC20</f>
        <v>124959.00600618774</v>
      </c>
      <c r="W15" s="7">
        <f ca="1">V5*'Entradas 5.65'!AD14*'Entradas 5.65'!AD20</f>
        <v>126014.40392185438</v>
      </c>
      <c r="X15" s="7">
        <f ca="1">W5*'Entradas 5.65'!AE14*'Entradas 5.65'!AE20</f>
        <v>0</v>
      </c>
      <c r="Y15" s="7"/>
      <c r="Z15" s="35" t="str">
        <f ca="1">IF(MIN(D15:J15)&lt;0,ROW(B15),"-")</f>
        <v>-</v>
      </c>
      <c r="AA15"/>
      <c r="AB15" s="7">
        <v>44216.445911894996</v>
      </c>
      <c r="AD15" s="15"/>
      <c r="AE15" s="14"/>
    </row>
    <row r="16" spans="1:34" s="6" customFormat="1" x14ac:dyDescent="0.25">
      <c r="A16" s="176"/>
      <c r="B16" s="2" t="s">
        <v>75</v>
      </c>
      <c r="D16" s="7">
        <f ca="1">C6*'Entradas 5.65'!K15*'Entradas 5.65'!K21</f>
        <v>1710.4704615072478</v>
      </c>
      <c r="E16" s="7">
        <f ca="1">D6*'Entradas 5.65'!L15*'Entradas 5.65'!L21</f>
        <v>1710.2744339748474</v>
      </c>
      <c r="F16" s="7">
        <f ca="1">E6*'Entradas 5.65'!M15*'Entradas 5.65'!M21</f>
        <v>1710.2060613519964</v>
      </c>
      <c r="G16" s="7">
        <f ca="1">F6*'Entradas 5.65'!N15*'Entradas 5.65'!N21</f>
        <v>1710.372010433769</v>
      </c>
      <c r="H16" s="7">
        <f ca="1">G6*'Entradas 5.65'!O15*'Entradas 5.65'!O21</f>
        <v>1710.219165464704</v>
      </c>
      <c r="I16" s="7">
        <f ca="1">H6*'Entradas 5.65'!P15*'Entradas 5.65'!P21</f>
        <v>2024.7704940358233</v>
      </c>
      <c r="J16" s="7">
        <f ca="1">I6*'Entradas 5.65'!Q15*'Entradas 5.65'!Q21</f>
        <v>2041.8571267031484</v>
      </c>
      <c r="K16" s="7">
        <f ca="1">J6*'Entradas 5.65'!R15*'Entradas 5.65'!R21</f>
        <v>2279.145028870355</v>
      </c>
      <c r="L16" s="7">
        <f ca="1">K6*'Entradas 5.65'!S15*'Entradas 5.65'!S21</f>
        <v>2427.2806238972166</v>
      </c>
      <c r="M16" s="7">
        <f ca="1">L6*'Entradas 5.65'!T15*'Entradas 5.65'!T21</f>
        <v>2601.1300045512112</v>
      </c>
      <c r="N16" s="7">
        <f ca="1">M6*'Entradas 5.65'!U15*'Entradas 5.65'!U21</f>
        <v>2647.8951087680389</v>
      </c>
      <c r="O16" s="7">
        <f ca="1">N6*'Entradas 5.65'!V15*'Entradas 5.65'!V21</f>
        <v>2758.854192951856</v>
      </c>
      <c r="P16" s="7">
        <f ca="1">O6*'Entradas 5.65'!W15*'Entradas 5.65'!W21</f>
        <v>2644.4855448362314</v>
      </c>
      <c r="Q16" s="7">
        <f ca="1">P6*'Entradas 5.65'!X15*'Entradas 5.65'!X21</f>
        <v>2899.1155323462349</v>
      </c>
      <c r="R16" s="7">
        <f ca="1">Q6*'Entradas 5.65'!Y15*'Entradas 5.65'!Y21</f>
        <v>2702.8163675578198</v>
      </c>
      <c r="S16" s="7">
        <f ca="1">R6*'Entradas 5.65'!Z15*'Entradas 5.65'!Z21</f>
        <v>2900.8969672432386</v>
      </c>
      <c r="T16" s="7">
        <f ca="1">S6*'Entradas 5.65'!AA15*'Entradas 5.65'!AA21</f>
        <v>2863.2198434312236</v>
      </c>
      <c r="U16" s="7">
        <f ca="1">T6*'Entradas 5.65'!AB15*'Entradas 5.65'!AB21</f>
        <v>3001.7464798942747</v>
      </c>
      <c r="V16" s="7">
        <f ca="1">U6*'Entradas 5.65'!AC15*'Entradas 5.65'!AC21</f>
        <v>3057.637065412935</v>
      </c>
      <c r="W16" s="7">
        <f ca="1">V6*'Entradas 5.65'!AD15*'Entradas 5.65'!AD21</f>
        <v>2980.0862005998015</v>
      </c>
      <c r="X16" s="7">
        <f ca="1">W6*'Entradas 5.65'!AE15*'Entradas 5.65'!AE21</f>
        <v>0</v>
      </c>
      <c r="Y16" s="7"/>
      <c r="Z16" s="35" t="str">
        <f ca="1">IF(MIN(D16:J16)&lt;0,ROW(B16),"-")</f>
        <v>-</v>
      </c>
      <c r="AA16"/>
      <c r="AB16" s="7">
        <v>1305.3493514172512</v>
      </c>
      <c r="AD16" s="22">
        <v>42</v>
      </c>
      <c r="AE16" s="14"/>
    </row>
    <row r="17" spans="1:34" s="6" customFormat="1" x14ac:dyDescent="0.25">
      <c r="A17" s="176"/>
      <c r="B17" s="5" t="s">
        <v>74</v>
      </c>
      <c r="D17" s="7">
        <f ca="1">C7*'Entradas 5.65'!K16*'Entradas 5.65'!K22</f>
        <v>8275.5214547169962</v>
      </c>
      <c r="E17" s="7">
        <f ca="1">D7*'Entradas 5.65'!L16*'Entradas 5.65'!L22</f>
        <v>8275.1906194451331</v>
      </c>
      <c r="F17" s="7">
        <f ca="1">E7*'Entradas 5.65'!M16*'Entradas 5.65'!M22</f>
        <v>8275.9935988730649</v>
      </c>
      <c r="G17" s="7">
        <f ca="1">F7*'Entradas 5.65'!N16*'Entradas 5.65'!N22</f>
        <v>8275.2540264421059</v>
      </c>
      <c r="H17" s="7">
        <f ca="1">G7*'Entradas 5.65'!O16*'Entradas 5.65'!O22</f>
        <v>9797.2765840442917</v>
      </c>
      <c r="I17" s="7">
        <f ca="1">H7*'Entradas 5.65'!P16*'Entradas 5.65'!P22</f>
        <v>9879.9538388861856</v>
      </c>
      <c r="J17" s="7">
        <f ca="1">I7*'Entradas 5.65'!Q16*'Entradas 5.65'!Q22</f>
        <v>11028.121107437188</v>
      </c>
      <c r="K17" s="7">
        <f ca="1">J7*'Entradas 5.65'!R16*'Entradas 5.65'!R22</f>
        <v>11744.90624466394</v>
      </c>
      <c r="L17" s="7">
        <f ca="1">K7*'Entradas 5.65'!S16*'Entradas 5.65'!S22</f>
        <v>12586.112925247784</v>
      </c>
      <c r="M17" s="7">
        <f ca="1">L7*'Entradas 5.65'!T16*'Entradas 5.65'!T22</f>
        <v>12812.395687587274</v>
      </c>
      <c r="N17" s="7">
        <f ca="1">M7*'Entradas 5.65'!U16*'Entradas 5.65'!U22</f>
        <v>13349.294482025089</v>
      </c>
      <c r="O17" s="7">
        <f ca="1">N7*'Entradas 5.65'!V16*'Entradas 5.65'!V22</f>
        <v>12795.897797594658</v>
      </c>
      <c r="P17" s="7">
        <f ca="1">O7*'Entradas 5.65'!W16*'Entradas 5.65'!W22</f>
        <v>14027.978382320471</v>
      </c>
      <c r="Q17" s="7">
        <f ca="1">P7*'Entradas 5.65'!X16*'Entradas 5.65'!X22</f>
        <v>13078.143713989442</v>
      </c>
      <c r="R17" s="7">
        <f ca="1">Q7*'Entradas 5.65'!Y16*'Entradas 5.65'!Y22</f>
        <v>14036.598228596302</v>
      </c>
      <c r="S17" s="7">
        <f ca="1">R7*'Entradas 5.65'!Z16*'Entradas 5.65'!Z22</f>
        <v>13854.289564989786</v>
      </c>
      <c r="T17" s="7">
        <f ca="1">S7*'Entradas 5.65'!AA16*'Entradas 5.65'!AA22</f>
        <v>14524.5797414239</v>
      </c>
      <c r="U17" s="7">
        <f ca="1">T7*'Entradas 5.65'!AB16*'Entradas 5.65'!AB22</f>
        <v>14795.018058449676</v>
      </c>
      <c r="V17" s="7">
        <f ca="1">U7*'Entradas 5.65'!AC16*'Entradas 5.65'!AC22</f>
        <v>14419.771938386128</v>
      </c>
      <c r="W17" s="7">
        <f ca="1">V7*'Entradas 5.65'!AD16*'Entradas 5.65'!AD22</f>
        <v>15175.271258711733</v>
      </c>
      <c r="X17" s="7">
        <f ca="1">W7*'Entradas 5.65'!AE16*'Entradas 5.65'!AE22</f>
        <v>0</v>
      </c>
      <c r="Y17" s="7"/>
      <c r="Z17" s="35" t="str">
        <f ca="1">IF(MIN(D17:J17)&lt;0,ROW(B17),"-")</f>
        <v>-</v>
      </c>
      <c r="AA17"/>
      <c r="AB17" s="7">
        <v>7197.8900189351261</v>
      </c>
      <c r="AD17" s="23">
        <v>30</v>
      </c>
      <c r="AE17" s="14"/>
    </row>
    <row r="18" spans="1:34" s="6" customFormat="1" x14ac:dyDescent="0.25">
      <c r="A18" s="176"/>
      <c r="B18" s="5" t="s">
        <v>78</v>
      </c>
      <c r="D18" s="7">
        <f ca="1">C8*'Entradas 5.65'!K17*'Entradas 5.65'!K23</f>
        <v>508.55295106782876</v>
      </c>
      <c r="E18" s="7">
        <f ca="1">D8*'Entradas 5.65'!L17*'Entradas 5.65'!L23</f>
        <v>508.59308025149875</v>
      </c>
      <c r="F18" s="7">
        <f ca="1">E8*'Entradas 5.65'!M17*'Entradas 5.65'!M23</f>
        <v>508.5601707119215</v>
      </c>
      <c r="G18" s="7">
        <f ca="1">F8*'Entradas 5.65'!N17*'Entradas 5.65'!N23</f>
        <v>589.71592149223613</v>
      </c>
      <c r="H18" s="7">
        <f ca="1">G8*'Entradas 5.65'!O17*'Entradas 5.65'!O23</f>
        <v>606.49852386393377</v>
      </c>
      <c r="I18" s="7">
        <f ca="1">H8*'Entradas 5.65'!P17*'Entradas 5.65'!P23</f>
        <v>668.39663113591769</v>
      </c>
      <c r="J18" s="7">
        <f ca="1">I8*'Entradas 5.65'!Q17*'Entradas 5.65'!Q23</f>
        <v>715.95360487413257</v>
      </c>
      <c r="K18" s="7">
        <f ca="1">J8*'Entradas 5.65'!R17*'Entradas 5.65'!R23</f>
        <v>766.63827027483319</v>
      </c>
      <c r="L18" s="7">
        <f ca="1">K8*'Entradas 5.65'!S17*'Entradas 5.65'!S23</f>
        <v>785.54368462023774</v>
      </c>
      <c r="M18" s="7">
        <f ca="1">L8*'Entradas 5.65'!T17*'Entradas 5.65'!T23</f>
        <v>816.01343027815744</v>
      </c>
      <c r="N18" s="7">
        <f ca="1">M8*'Entradas 5.65'!U17*'Entradas 5.65'!U23</f>
        <v>790.86850098879131</v>
      </c>
      <c r="O18" s="7">
        <f ca="1">N8*'Entradas 5.65'!V17*'Entradas 5.65'!V23</f>
        <v>852.07008369321511</v>
      </c>
      <c r="P18" s="7">
        <f ca="1">O8*'Entradas 5.65'!W17*'Entradas 5.65'!W23</f>
        <v>811.43685846943151</v>
      </c>
      <c r="Q18" s="7">
        <f ca="1">P8*'Entradas 5.65'!X17*'Entradas 5.65'!X23</f>
        <v>854.82435855732137</v>
      </c>
      <c r="R18" s="7">
        <f ca="1">Q8*'Entradas 5.65'!Y17*'Entradas 5.65'!Y23</f>
        <v>852.8948685586729</v>
      </c>
      <c r="S18" s="7">
        <f ca="1">R8*'Entradas 5.65'!Z17*'Entradas 5.65'!Z23</f>
        <v>887.15590742550967</v>
      </c>
      <c r="T18" s="7">
        <f ca="1">S8*'Entradas 5.65'!AA17*'Entradas 5.65'!AA23</f>
        <v>907.02638549620417</v>
      </c>
      <c r="U18" s="7">
        <f ca="1">T8*'Entradas 5.65'!AB17*'Entradas 5.65'!AB23</f>
        <v>889.21503604690497</v>
      </c>
      <c r="V18" s="7">
        <f ca="1">U8*'Entradas 5.65'!AC17*'Entradas 5.65'!AC23</f>
        <v>926.45129143252393</v>
      </c>
      <c r="W18" s="7">
        <f ca="1">V8*'Entradas 5.65'!AD17*'Entradas 5.65'!AD23</f>
        <v>962.3089251129569</v>
      </c>
      <c r="X18" s="7">
        <f ca="1">W8*'Entradas 5.65'!AE17*'Entradas 5.65'!AE23</f>
        <v>0</v>
      </c>
      <c r="Y18" s="7"/>
      <c r="Z18" s="35"/>
      <c r="AA18"/>
      <c r="AB18" s="7">
        <v>9690.0817744117394</v>
      </c>
      <c r="AD18" s="23"/>
      <c r="AE18" s="14"/>
    </row>
    <row r="19" spans="1:34" s="6" customFormat="1" ht="15.75" thickBot="1" x14ac:dyDescent="0.3">
      <c r="A19" s="177"/>
      <c r="B19" s="7" t="s">
        <v>2</v>
      </c>
      <c r="Y19" s="7"/>
      <c r="Z19" s="35" t="str">
        <f ca="1">IF(MIN(D18:J18)&lt;0,ROW(B18),"-")</f>
        <v>-</v>
      </c>
      <c r="AA19"/>
      <c r="AD19" s="23">
        <v>18</v>
      </c>
      <c r="AE19" s="14"/>
    </row>
    <row r="20" spans="1:34" s="6" customFormat="1" ht="15.75" thickBot="1" x14ac:dyDescent="0.3">
      <c r="A20" s="5"/>
      <c r="B20" s="72" t="s">
        <v>21</v>
      </c>
      <c r="C20" s="73"/>
      <c r="D20" s="73">
        <f ca="1">SUM(D15:D18)</f>
        <v>76242.98739296096</v>
      </c>
      <c r="E20" s="73">
        <f t="shared" ref="E20:K20" ca="1" si="32">SUM(E15:E18)</f>
        <v>83316.002683375234</v>
      </c>
      <c r="F20" s="73">
        <f t="shared" ca="1" si="32"/>
        <v>89870.498116993054</v>
      </c>
      <c r="G20" s="73">
        <f t="shared" ca="1" si="32"/>
        <v>96319.592179227839</v>
      </c>
      <c r="H20" s="73">
        <f t="shared" ca="1" si="32"/>
        <v>104348.81595853332</v>
      </c>
      <c r="I20" s="73">
        <f t="shared" ca="1" si="32"/>
        <v>111751.00048112523</v>
      </c>
      <c r="J20" s="73">
        <f t="shared" ca="1" si="32"/>
        <v>116578.9201406012</v>
      </c>
      <c r="K20" s="73">
        <f t="shared" ca="1" si="32"/>
        <v>120421.29719692619</v>
      </c>
      <c r="L20" s="73">
        <f t="shared" ref="L20:M20" ca="1" si="33">SUM(L15:L18)</f>
        <v>120140.74298692687</v>
      </c>
      <c r="M20" s="73">
        <f t="shared" ca="1" si="33"/>
        <v>123898.74019854373</v>
      </c>
      <c r="N20" s="73">
        <f t="shared" ref="N20:X20" ca="1" si="34">SUM(N15:N18)</f>
        <v>124195.93036151114</v>
      </c>
      <c r="O20" s="73">
        <f t="shared" ca="1" si="34"/>
        <v>125429.23605298612</v>
      </c>
      <c r="P20" s="73">
        <f t="shared" ca="1" si="34"/>
        <v>127982.99238058935</v>
      </c>
      <c r="Q20" s="73">
        <f t="shared" ca="1" si="34"/>
        <v>130848.78773981155</v>
      </c>
      <c r="R20" s="73">
        <f t="shared" ca="1" si="34"/>
        <v>134730.48460714179</v>
      </c>
      <c r="S20" s="73">
        <f t="shared" ca="1" si="34"/>
        <v>134424.30690150463</v>
      </c>
      <c r="T20" s="73">
        <f t="shared" ca="1" si="34"/>
        <v>136553.11106071316</v>
      </c>
      <c r="U20" s="73">
        <f t="shared" ca="1" si="34"/>
        <v>142015.20651545029</v>
      </c>
      <c r="V20" s="73">
        <f t="shared" ca="1" si="34"/>
        <v>143362.86630141933</v>
      </c>
      <c r="W20" s="73">
        <f t="shared" ca="1" si="34"/>
        <v>145132.07030627888</v>
      </c>
      <c r="X20" s="73">
        <f t="shared" ca="1" si="34"/>
        <v>0</v>
      </c>
      <c r="Y20" s="3"/>
      <c r="Z20" s="34"/>
      <c r="AA20"/>
      <c r="AB20" s="73">
        <v>62409.767056659111</v>
      </c>
      <c r="AC20" s="3"/>
      <c r="AD20" s="24" t="s">
        <v>30</v>
      </c>
      <c r="AE20" s="14"/>
      <c r="AF20" s="3"/>
      <c r="AG20" s="3"/>
      <c r="AH20" s="3"/>
    </row>
    <row r="21" spans="1:34" s="6" customFormat="1" ht="15.75" thickBot="1" x14ac:dyDescent="0.3">
      <c r="A21" s="10"/>
      <c r="B21" s="1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35"/>
      <c r="AA21"/>
      <c r="AB21" s="7"/>
      <c r="AD21" s="15"/>
      <c r="AE21" s="14"/>
    </row>
    <row r="22" spans="1:34" s="6" customFormat="1" x14ac:dyDescent="0.25">
      <c r="A22" s="175" t="s">
        <v>10</v>
      </c>
      <c r="B22" s="5" t="s">
        <v>0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35"/>
      <c r="AA22"/>
      <c r="AB22" s="7"/>
      <c r="AD22" s="15"/>
      <c r="AE22" s="14"/>
    </row>
    <row r="23" spans="1:34" s="6" customFormat="1" x14ac:dyDescent="0.25">
      <c r="A23" s="176"/>
      <c r="B23" s="2" t="s">
        <v>12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35"/>
      <c r="AA23"/>
      <c r="AB23" s="7"/>
      <c r="AD23" s="15"/>
      <c r="AE23" s="14"/>
    </row>
    <row r="24" spans="1:34" s="6" customFormat="1" x14ac:dyDescent="0.25">
      <c r="A24" s="176"/>
      <c r="B24" s="5" t="s">
        <v>4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35"/>
      <c r="AA24"/>
      <c r="AB24" s="7"/>
      <c r="AD24" s="15"/>
      <c r="AE24" s="14"/>
    </row>
    <row r="25" spans="1:34" s="6" customFormat="1" x14ac:dyDescent="0.25">
      <c r="A25" s="176"/>
      <c r="B25" s="5" t="s">
        <v>73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35"/>
      <c r="AA25"/>
      <c r="AB25" s="7"/>
      <c r="AD25" s="15"/>
      <c r="AE25" s="14"/>
    </row>
    <row r="26" spans="1:34" s="6" customFormat="1" x14ac:dyDescent="0.25">
      <c r="A26" s="176"/>
      <c r="B26" s="5" t="s">
        <v>2</v>
      </c>
      <c r="C26" s="7"/>
      <c r="D26" s="7">
        <f ca="1">D$20/2</f>
        <v>38121.49369648048</v>
      </c>
      <c r="E26" s="7">
        <f t="shared" ref="E26:K26" ca="1" si="35">E$20/2</f>
        <v>41658.001341687617</v>
      </c>
      <c r="F26" s="7">
        <f t="shared" ca="1" si="35"/>
        <v>44935.249058496527</v>
      </c>
      <c r="G26" s="7">
        <f t="shared" ca="1" si="35"/>
        <v>48159.796089613919</v>
      </c>
      <c r="H26" s="7">
        <f t="shared" ca="1" si="35"/>
        <v>52174.40797926666</v>
      </c>
      <c r="I26" s="7">
        <f t="shared" ca="1" si="35"/>
        <v>55875.500240562615</v>
      </c>
      <c r="J26" s="7">
        <f t="shared" ca="1" si="35"/>
        <v>58289.4600703006</v>
      </c>
      <c r="K26" s="7">
        <f t="shared" ca="1" si="35"/>
        <v>60210.648598463093</v>
      </c>
      <c r="L26" s="7">
        <f t="shared" ref="L26:X26" ca="1" si="36">L$20/2</f>
        <v>60070.371493463434</v>
      </c>
      <c r="M26" s="7">
        <f t="shared" ca="1" si="36"/>
        <v>61949.370099271866</v>
      </c>
      <c r="N26" s="7">
        <f t="shared" ca="1" si="36"/>
        <v>62097.965180755571</v>
      </c>
      <c r="O26" s="7">
        <f t="shared" ca="1" si="36"/>
        <v>62714.618026493059</v>
      </c>
      <c r="P26" s="7">
        <f t="shared" ca="1" si="36"/>
        <v>63991.496190294674</v>
      </c>
      <c r="Q26" s="7">
        <f t="shared" ca="1" si="36"/>
        <v>65424.393869905776</v>
      </c>
      <c r="R26" s="7">
        <f t="shared" ca="1" si="36"/>
        <v>67365.242303570893</v>
      </c>
      <c r="S26" s="7">
        <f t="shared" ca="1" si="36"/>
        <v>67212.153450752317</v>
      </c>
      <c r="T26" s="7">
        <f t="shared" ca="1" si="36"/>
        <v>68276.555530356578</v>
      </c>
      <c r="U26" s="7">
        <f t="shared" ca="1" si="36"/>
        <v>71007.603257725146</v>
      </c>
      <c r="V26" s="7">
        <f t="shared" ca="1" si="36"/>
        <v>71681.433150709665</v>
      </c>
      <c r="W26" s="7">
        <f t="shared" ca="1" si="36"/>
        <v>72566.035153139441</v>
      </c>
      <c r="X26" s="7">
        <f t="shared" ca="1" si="36"/>
        <v>0</v>
      </c>
      <c r="Y26" s="7"/>
      <c r="Z26" s="35" t="str">
        <f ca="1">IF(MIN(D26:J26)&lt;0,ROW(B26),"-")</f>
        <v>-</v>
      </c>
      <c r="AA26"/>
      <c r="AB26" s="7">
        <v>31204.883528329556</v>
      </c>
      <c r="AD26" s="15"/>
      <c r="AE26" s="14"/>
    </row>
    <row r="27" spans="1:34" s="6" customFormat="1" x14ac:dyDescent="0.25">
      <c r="A27" s="176"/>
      <c r="B27" s="5" t="s">
        <v>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35"/>
      <c r="AA27"/>
      <c r="AB27" s="7"/>
      <c r="AD27" s="15"/>
      <c r="AE27" s="14"/>
    </row>
    <row r="28" spans="1:34" s="6" customFormat="1" x14ac:dyDescent="0.25">
      <c r="A28" s="176"/>
      <c r="B28" s="5" t="s">
        <v>5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35"/>
      <c r="AA28"/>
      <c r="AB28" s="7"/>
      <c r="AE28" s="15"/>
      <c r="AF28" s="14"/>
    </row>
    <row r="29" spans="1:34" s="6" customFormat="1" ht="15.75" thickBot="1" x14ac:dyDescent="0.3">
      <c r="A29" s="177"/>
      <c r="B29" s="5" t="s">
        <v>1</v>
      </c>
      <c r="C29" s="7"/>
      <c r="D29" s="7">
        <f ca="1">D26</f>
        <v>38121.49369648048</v>
      </c>
      <c r="E29" s="7">
        <f t="shared" ref="E29:K29" ca="1" si="37">E26</f>
        <v>41658.001341687617</v>
      </c>
      <c r="F29" s="7">
        <f t="shared" ca="1" si="37"/>
        <v>44935.249058496527</v>
      </c>
      <c r="G29" s="7">
        <f t="shared" ca="1" si="37"/>
        <v>48159.796089613919</v>
      </c>
      <c r="H29" s="7">
        <f t="shared" ca="1" si="37"/>
        <v>52174.40797926666</v>
      </c>
      <c r="I29" s="7">
        <f t="shared" ca="1" si="37"/>
        <v>55875.500240562615</v>
      </c>
      <c r="J29" s="7">
        <f t="shared" ca="1" si="37"/>
        <v>58289.4600703006</v>
      </c>
      <c r="K29" s="7">
        <f t="shared" ca="1" si="37"/>
        <v>60210.648598463093</v>
      </c>
      <c r="L29" s="7">
        <f t="shared" ref="L29:M29" ca="1" si="38">L26</f>
        <v>60070.371493463434</v>
      </c>
      <c r="M29" s="7">
        <f t="shared" ca="1" si="38"/>
        <v>61949.370099271866</v>
      </c>
      <c r="N29" s="7">
        <f t="shared" ref="N29:X29" ca="1" si="39">N26</f>
        <v>62097.965180755571</v>
      </c>
      <c r="O29" s="7">
        <f t="shared" ca="1" si="39"/>
        <v>62714.618026493059</v>
      </c>
      <c r="P29" s="7">
        <f t="shared" ca="1" si="39"/>
        <v>63991.496190294674</v>
      </c>
      <c r="Q29" s="7">
        <f t="shared" ca="1" si="39"/>
        <v>65424.393869905776</v>
      </c>
      <c r="R29" s="7">
        <f t="shared" ca="1" si="39"/>
        <v>67365.242303570893</v>
      </c>
      <c r="S29" s="7">
        <f t="shared" ca="1" si="39"/>
        <v>67212.153450752317</v>
      </c>
      <c r="T29" s="7">
        <f t="shared" ca="1" si="39"/>
        <v>68276.555530356578</v>
      </c>
      <c r="U29" s="7">
        <f t="shared" ca="1" si="39"/>
        <v>71007.603257725146</v>
      </c>
      <c r="V29" s="7">
        <f t="shared" ca="1" si="39"/>
        <v>71681.433150709665</v>
      </c>
      <c r="W29" s="7">
        <f t="shared" ca="1" si="39"/>
        <v>72566.035153139441</v>
      </c>
      <c r="X29" s="7">
        <f t="shared" ca="1" si="39"/>
        <v>0</v>
      </c>
      <c r="Y29" s="7"/>
      <c r="Z29" s="35" t="str">
        <f ca="1">IF(MIN(D29:J29)&lt;0,ROW(B29),"-")</f>
        <v>-</v>
      </c>
      <c r="AA29"/>
      <c r="AB29" s="7">
        <v>31204.883528329556</v>
      </c>
      <c r="AE29" s="15"/>
      <c r="AF29" s="14"/>
    </row>
    <row r="30" spans="1:34" s="6" customFormat="1" ht="15.75" thickBot="1" x14ac:dyDescent="0.3">
      <c r="A30" s="10"/>
      <c r="B30" s="72" t="s">
        <v>21</v>
      </c>
      <c r="C30" s="73"/>
      <c r="D30" s="73">
        <f ca="1">SUM(D22:D29)</f>
        <v>76242.98739296096</v>
      </c>
      <c r="E30" s="73">
        <f t="shared" ref="E30:K30" ca="1" si="40">SUM(E22:E29)</f>
        <v>83316.002683375234</v>
      </c>
      <c r="F30" s="73">
        <f t="shared" ca="1" si="40"/>
        <v>89870.498116993054</v>
      </c>
      <c r="G30" s="73">
        <f t="shared" ca="1" si="40"/>
        <v>96319.592179227839</v>
      </c>
      <c r="H30" s="73">
        <f t="shared" ca="1" si="40"/>
        <v>104348.81595853332</v>
      </c>
      <c r="I30" s="73">
        <f t="shared" ca="1" si="40"/>
        <v>111751.00048112523</v>
      </c>
      <c r="J30" s="73">
        <f t="shared" ca="1" si="40"/>
        <v>116578.9201406012</v>
      </c>
      <c r="K30" s="73">
        <f t="shared" ca="1" si="40"/>
        <v>120421.29719692619</v>
      </c>
      <c r="L30" s="73">
        <f t="shared" ref="L30:M30" ca="1" si="41">SUM(L22:L29)</f>
        <v>120140.74298692687</v>
      </c>
      <c r="M30" s="73">
        <f t="shared" ca="1" si="41"/>
        <v>123898.74019854373</v>
      </c>
      <c r="N30" s="73">
        <f t="shared" ref="N30:X30" ca="1" si="42">SUM(N22:N29)</f>
        <v>124195.93036151114</v>
      </c>
      <c r="O30" s="73">
        <f t="shared" ca="1" si="42"/>
        <v>125429.23605298612</v>
      </c>
      <c r="P30" s="73">
        <f t="shared" ca="1" si="42"/>
        <v>127982.99238058935</v>
      </c>
      <c r="Q30" s="73">
        <f t="shared" ca="1" si="42"/>
        <v>130848.78773981155</v>
      </c>
      <c r="R30" s="73">
        <f t="shared" ca="1" si="42"/>
        <v>134730.48460714179</v>
      </c>
      <c r="S30" s="73">
        <f t="shared" ca="1" si="42"/>
        <v>134424.30690150463</v>
      </c>
      <c r="T30" s="73">
        <f t="shared" ca="1" si="42"/>
        <v>136553.11106071316</v>
      </c>
      <c r="U30" s="73">
        <f t="shared" ca="1" si="42"/>
        <v>142015.20651545029</v>
      </c>
      <c r="V30" s="73">
        <f t="shared" ca="1" si="42"/>
        <v>143362.86630141933</v>
      </c>
      <c r="W30" s="73">
        <f t="shared" ca="1" si="42"/>
        <v>145132.07030627888</v>
      </c>
      <c r="X30" s="73">
        <f t="shared" ca="1" si="42"/>
        <v>0</v>
      </c>
      <c r="Y30" s="7"/>
      <c r="Z30" s="35"/>
      <c r="AA30"/>
      <c r="AB30" s="73">
        <v>62409.767056659111</v>
      </c>
      <c r="AE30" s="15"/>
      <c r="AF30" s="14"/>
    </row>
    <row r="31" spans="1:34" s="6" customFormat="1" ht="15.75" thickBot="1" x14ac:dyDescent="0.3">
      <c r="A31" s="10"/>
      <c r="B31" s="1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35"/>
      <c r="AA31"/>
      <c r="AB31" s="7"/>
      <c r="AE31" s="15"/>
      <c r="AF31" s="14"/>
    </row>
    <row r="32" spans="1:34" s="6" customFormat="1" x14ac:dyDescent="0.25">
      <c r="A32" s="175" t="s">
        <v>8</v>
      </c>
      <c r="B32" s="5" t="s">
        <v>0</v>
      </c>
      <c r="C32" s="7"/>
      <c r="D32" s="7">
        <f ca="1">C5+SUM(D16:D18)-D42-D52-D66</f>
        <v>121.25038007556577</v>
      </c>
      <c r="E32" s="7">
        <f t="shared" ref="E32:X32" ca="1" si="43">D5+SUM(E16:E18)-E42-E52-E66</f>
        <v>493.95304274243244</v>
      </c>
      <c r="F32" s="7">
        <f t="shared" ca="1" si="43"/>
        <v>495.95729530695826</v>
      </c>
      <c r="G32" s="7">
        <f t="shared" ca="1" si="43"/>
        <v>226.52231242992275</v>
      </c>
      <c r="H32" s="7">
        <f t="shared" ca="1" si="43"/>
        <v>1026.9520393497514</v>
      </c>
      <c r="I32" s="7">
        <f t="shared" ca="1" si="43"/>
        <v>5128.9265466753568</v>
      </c>
      <c r="J32" s="7">
        <f t="shared" ca="1" si="43"/>
        <v>7127.6733241250331</v>
      </c>
      <c r="K32" s="7">
        <f t="shared" ca="1" si="43"/>
        <v>12837.877712300804</v>
      </c>
      <c r="L32" s="7">
        <f t="shared" ca="1" si="43"/>
        <v>8520.5650655916397</v>
      </c>
      <c r="M32" s="7">
        <f t="shared" ca="1" si="43"/>
        <v>13015.381280740679</v>
      </c>
      <c r="N32" s="7">
        <f t="shared" ca="1" si="43"/>
        <v>11401.194231553382</v>
      </c>
      <c r="O32" s="7">
        <f t="shared" ca="1" si="43"/>
        <v>11127.511087007646</v>
      </c>
      <c r="P32" s="7">
        <f t="shared" ca="1" si="43"/>
        <v>9783.1600719356502</v>
      </c>
      <c r="Q32" s="7">
        <f t="shared" ca="1" si="43"/>
        <v>9477.0366354724974</v>
      </c>
      <c r="R32" s="7">
        <f t="shared" ca="1" si="43"/>
        <v>14179.086161318177</v>
      </c>
      <c r="S32" s="7">
        <f t="shared" ca="1" si="43"/>
        <v>12109.907753735723</v>
      </c>
      <c r="T32" s="7">
        <f t="shared" ca="1" si="43"/>
        <v>8534.361247401539</v>
      </c>
      <c r="U32" s="7">
        <f t="shared" ca="1" si="43"/>
        <v>12761.176850934979</v>
      </c>
      <c r="V32" s="7">
        <f t="shared" ca="1" si="43"/>
        <v>13093.690545882127</v>
      </c>
      <c r="W32" s="7">
        <f t="shared" ca="1" si="43"/>
        <v>14061.976873825362</v>
      </c>
      <c r="X32" s="7" t="e">
        <f t="shared" ca="1" si="43"/>
        <v>#VALUE!</v>
      </c>
      <c r="Y32" s="7"/>
      <c r="Z32" s="35" t="str">
        <f ca="1">IF(MIN(D32:J32)&lt;0,ROW(B32),"-")</f>
        <v>-</v>
      </c>
      <c r="AA32"/>
      <c r="AB32" s="7">
        <v>6012.4260080560052</v>
      </c>
      <c r="AE32" s="15"/>
      <c r="AF32" s="14"/>
    </row>
    <row r="33" spans="1:32" s="6" customFormat="1" x14ac:dyDescent="0.25">
      <c r="A33" s="176"/>
      <c r="B33" s="2" t="s">
        <v>12</v>
      </c>
      <c r="C33" s="7"/>
      <c r="D33" s="7">
        <f ca="1">MAX((C6-D16-D43-D53)*'Entradas 5.65'!J39,0)</f>
        <v>142.58587908668659</v>
      </c>
      <c r="E33" s="7">
        <f ca="1">MAX((D6-E16-E43-E53)*'Entradas 5.65'!K39,0)</f>
        <v>142.55023694316952</v>
      </c>
      <c r="F33" s="7">
        <f ca="1">MAX((E6-F16-F43-F53)*'Entradas 5.65'!L39,0)</f>
        <v>142.50910333507096</v>
      </c>
      <c r="G33" s="7">
        <f ca="1">MAX((F6-G16-G43-G53)*'Entradas 5.65'!M39,0)</f>
        <v>142.57114358399258</v>
      </c>
      <c r="H33" s="7">
        <f ca="1">MAX((G6-H16-H43-H53)*'Entradas 5.65'!N39,0)</f>
        <v>94.967388534829922</v>
      </c>
      <c r="I33" s="7">
        <f ca="1">MAX((H6-I16-I43-I53)*'Entradas 5.65'!O39,0)</f>
        <v>166.16711411778078</v>
      </c>
      <c r="J33" s="7">
        <f ca="1">MAX((I6-J16-J43-J53)*'Entradas 5.65'!P39,0)</f>
        <v>134.29131881336508</v>
      </c>
      <c r="K33" s="7">
        <f ca="1">MAX((J6-K16-K43-K53)*'Entradas 5.65'!Q39,0)</f>
        <v>167.54969617493776</v>
      </c>
      <c r="L33" s="7">
        <f ca="1">MAX((K6-L16-L43-L53)*'Entradas 5.65'!R39,0)</f>
        <v>176.00724671336189</v>
      </c>
      <c r="M33" s="7">
        <f ca="1">MAX((L6-M16-M43-M53)*'Entradas 5.65'!S39,0)</f>
        <v>209.71469633760267</v>
      </c>
      <c r="N33" s="7">
        <f ca="1">MAX((M6-N16-N43-N53)*'Entradas 5.65'!T39,0)</f>
        <v>203.90454426353313</v>
      </c>
      <c r="O33" s="7">
        <f ca="1">MAX((N6-O16-O43-O53)*'Entradas 5.65'!U39,0)</f>
        <v>247.22733816635008</v>
      </c>
      <c r="P33" s="7">
        <f ca="1">MAX((O6-P16-P43-P53)*'Entradas 5.65'!V39,0)</f>
        <v>181.89380342029744</v>
      </c>
      <c r="Q33" s="7">
        <f ca="1">MAX((P6-Q16-Q43-Q53)*'Entradas 5.65'!W39,0)</f>
        <v>271.30709015573041</v>
      </c>
      <c r="R33" s="7">
        <f ca="1">MAX((Q6-R16-R43-R53)*'Entradas 5.65'!X39,0)</f>
        <v>195.30694528280293</v>
      </c>
      <c r="S33" s="7">
        <f ca="1">MAX((R6-S16-S43-S53)*'Entradas 5.65'!Y39,0)</f>
        <v>247.46800424506023</v>
      </c>
      <c r="T33" s="7">
        <f ca="1">MAX((S6-T16-T43-T53)*'Entradas 5.65'!Z39,0)</f>
        <v>217.68152357751381</v>
      </c>
      <c r="U33" s="7">
        <f ca="1">MAX((T6-U16-U43-U53)*'Entradas 5.65'!AA39,0)</f>
        <v>241.72339386451682</v>
      </c>
      <c r="V33" s="7">
        <f ca="1">MAX((U6-V16-V43-V53)*'Entradas 5.65'!AB39,0)</f>
        <v>266.56113062742321</v>
      </c>
      <c r="W33" s="7">
        <f ca="1">MAX((V6-W16-W43-W53)*'Entradas 5.65'!AC39,0)</f>
        <v>224.75850148107986</v>
      </c>
      <c r="X33" s="7">
        <f ca="1">MAX((W6-X16-X43-X53)*'Entradas 5.65'!AD39,0)</f>
        <v>3871.8799096301573</v>
      </c>
      <c r="Y33" s="7"/>
      <c r="Z33" s="35" t="str">
        <f ca="1">IF(MIN(D33:J33)&lt;0,ROW(B33),"-")</f>
        <v>-</v>
      </c>
      <c r="AA33"/>
      <c r="AB33" s="7">
        <v>306.19305773984888</v>
      </c>
      <c r="AD33" s="15"/>
      <c r="AE33" s="14"/>
    </row>
    <row r="34" spans="1:32" s="6" customFormat="1" x14ac:dyDescent="0.25">
      <c r="A34" s="176"/>
      <c r="B34" s="5" t="s">
        <v>4</v>
      </c>
      <c r="C34" s="7"/>
      <c r="D34" s="7">
        <f ca="1">MAX((C7-D17-D44-D54)*'Entradas 5.65'!J40,0)</f>
        <v>1349.0880225398782</v>
      </c>
      <c r="E34" s="7">
        <f ca="1">MAX((D7-E17-E44-E54)*'Entradas 5.65'!K40,0)</f>
        <v>1349.0062105432869</v>
      </c>
      <c r="F34" s="7">
        <f ca="1">MAX((E7-F17-F44-F54)*'Entradas 5.65'!L40,0)</f>
        <v>1349.1750420548444</v>
      </c>
      <c r="G34" s="7">
        <f ca="1">MAX((F7-G17-G44-G54)*'Entradas 5.65'!M40,0)</f>
        <v>1311.6117005199724</v>
      </c>
      <c r="H34" s="7">
        <f ca="1">MAX((G7-H17-H44-H54)*'Entradas 5.65'!N40,0)</f>
        <v>1595.1242862514669</v>
      </c>
      <c r="I34" s="7">
        <f ca="1">MAX((H7-I17-I44-I54)*'Entradas 5.65'!O40,0)</f>
        <v>1582.4033374050568</v>
      </c>
      <c r="J34" s="7">
        <f ca="1">MAX((I7-J17-J44-J54)*'Entradas 5.65'!P40,0)</f>
        <v>1780.1853089287376</v>
      </c>
      <c r="K34" s="7">
        <f ca="1">MAX((J7-K17-K44-K54)*'Entradas 5.65'!Q40,0)</f>
        <v>1893.9766345373607</v>
      </c>
      <c r="L34" s="7">
        <f ca="1">MAX((K7-L17-L44-L54)*'Entradas 5.65'!R40,0)</f>
        <v>2046.2307866762342</v>
      </c>
      <c r="M34" s="7">
        <f ca="1">MAX((L7-M17-M44-M54)*'Entradas 5.65'!S40,0)</f>
        <v>2075.4818708236262</v>
      </c>
      <c r="N34" s="7">
        <f ca="1">MAX((M7-N17-N44-N54)*'Entradas 5.65'!T40,0)</f>
        <v>2189.81636986985</v>
      </c>
      <c r="O34" s="7">
        <f ca="1">MAX((N7-O17-O44-O54)*'Entradas 5.65'!U40,0)</f>
        <v>2055.6987436638983</v>
      </c>
      <c r="P34" s="7">
        <f ca="1">MAX((O7-P17-P44-P54)*'Entradas 5.65'!V40,0)</f>
        <v>2310.203682248572</v>
      </c>
      <c r="Q34" s="7">
        <f ca="1">MAX((P7-Q17-Q44-Q54)*'Entradas 5.65'!W40,0)</f>
        <v>2108.4387379595128</v>
      </c>
      <c r="R34" s="7">
        <f ca="1">MAX((Q7-R17-R44-R54)*'Entradas 5.65'!X40,0)</f>
        <v>2292.7364099083511</v>
      </c>
      <c r="S34" s="7">
        <f ca="1">MAX((R7-S17-S44-S54)*'Entradas 5.65'!Y40,0)</f>
        <v>2242.0520384567776</v>
      </c>
      <c r="T34" s="7">
        <f ca="1">MAX((S7-T17-T44-T54)*'Entradas 5.65'!Z40,0)</f>
        <v>2361.1549443677454</v>
      </c>
      <c r="U34" s="7">
        <f ca="1">MAX((T7-U17-U44-U54)*'Entradas 5.65'!AA40,0)</f>
        <v>2421.1184976496079</v>
      </c>
      <c r="V34" s="7">
        <f ca="1">MAX((U7-V17-V44-V54)*'Entradas 5.65'!AB40,0)</f>
        <v>2332.1420902466712</v>
      </c>
      <c r="W34" s="7">
        <f ca="1">MAX((V7-W17-W44-W54)*'Entradas 5.65'!AC40,0)</f>
        <v>2460.1785945316433</v>
      </c>
      <c r="X34" s="7">
        <f ca="1">MAX((W7-X17-X44-X54)*'Entradas 5.65'!AD40,0)</f>
        <v>14809.938672815515</v>
      </c>
      <c r="Y34" s="7"/>
      <c r="Z34" s="35"/>
      <c r="AA34"/>
      <c r="AB34" s="7">
        <v>1900.9266570719865</v>
      </c>
      <c r="AD34" s="15"/>
      <c r="AE34" s="14"/>
    </row>
    <row r="35" spans="1:32" s="6" customFormat="1" x14ac:dyDescent="0.25">
      <c r="A35" s="176"/>
      <c r="B35" s="5" t="s">
        <v>73</v>
      </c>
      <c r="C35" s="7"/>
      <c r="D35" s="7">
        <f ca="1">MAX((C8-D18-D45-D55)*'Entradas 5.65'!J41,0)</f>
        <v>8630.4368880211678</v>
      </c>
      <c r="E35" s="7">
        <f ca="1">MAX((D8-E18-E45-E55)*'Entradas 5.65'!K41,0)</f>
        <v>8631.1517948135188</v>
      </c>
      <c r="F35" s="7">
        <f ca="1">MAX((E8-F18-F45-F55)*'Entradas 5.65'!L41,0)</f>
        <v>8592.9218012937854</v>
      </c>
      <c r="G35" s="7">
        <f ca="1">MAX((F8-G18-G45-G55)*'Entradas 5.65'!M41,0)</f>
        <v>10000.053779284579</v>
      </c>
      <c r="H35" s="7">
        <f ca="1">MAX((G8-H18-H45-H55)*'Entradas 5.65'!N41,0)</f>
        <v>10263.931263305532</v>
      </c>
      <c r="I35" s="7">
        <f ca="1">MAX((H8-I18-I45-I55)*'Entradas 5.65'!O41,0)</f>
        <v>11321.034388716645</v>
      </c>
      <c r="J35" s="7">
        <f ca="1">MAX((I8-J18-J45-J55)*'Entradas 5.65'!P41,0)</f>
        <v>12126.654155420385</v>
      </c>
      <c r="K35" s="7">
        <f ca="1">MAX((J8-K18-K45-K55)*'Entradas 5.65'!Q41,0)</f>
        <v>13001.549572300044</v>
      </c>
      <c r="L35" s="7">
        <f ca="1">MAX((K8-L18-L45-L55)*'Entradas 5.65'!R41,0)</f>
        <v>13317.020205611472</v>
      </c>
      <c r="M35" s="7">
        <f ca="1">MAX((L8-M18-M45-M55)*'Entradas 5.65'!S41,0)</f>
        <v>13859.915660302211</v>
      </c>
      <c r="N35" s="7">
        <f ca="1">MAX((M8-N18-N45-N55)*'Entradas 5.65'!T41,0)</f>
        <v>13393.126048168091</v>
      </c>
      <c r="O35" s="7">
        <f ca="1">MAX((N8-O18-O45-O55)*'Entradas 5.65'!U41,0)</f>
        <v>14479.005746320667</v>
      </c>
      <c r="P35" s="7">
        <f ca="1">MAX((O8-P18-P45-P55)*'Entradas 5.65'!V41,0)</f>
        <v>13750.449416085068</v>
      </c>
      <c r="Q35" s="7">
        <f ca="1">MAX((P8-Q18-Q45-Q55)*'Entradas 5.65'!W41,0)</f>
        <v>14507.788966034837</v>
      </c>
      <c r="R35" s="7">
        <f ca="1">MAX((Q8-R18-R45-R55)*'Entradas 5.65'!X41,0)</f>
        <v>14458.251949687517</v>
      </c>
      <c r="S35" s="7">
        <f ca="1">MAX((R8-S18-S45-S55)*'Entradas 5.65'!Y41,0)</f>
        <v>15046.36000689233</v>
      </c>
      <c r="T35" s="7">
        <f ca="1">MAX((S8-T18-T45-T55)*'Entradas 5.65'!Z41,0)</f>
        <v>15401.058557029322</v>
      </c>
      <c r="U35" s="7">
        <f ca="1">MAX((T8-U18-U45-U55)*'Entradas 5.65'!AA41,0)</f>
        <v>15073.24697046278</v>
      </c>
      <c r="V35" s="7">
        <f ca="1">MAX((U8-V18-V45-V55)*'Entradas 5.65'!AB41,0)</f>
        <v>15705.808743546524</v>
      </c>
      <c r="W35" s="7">
        <f ca="1">MAX((V8-W18-W45-W55)*'Entradas 5.65'!AC41,0)</f>
        <v>16335.773020874203</v>
      </c>
      <c r="X35" s="7">
        <f ca="1">MAX((W8-X18-X45-X55)*'Entradas 5.65'!AD41,0)</f>
        <v>17628.951970741713</v>
      </c>
      <c r="Y35" s="7"/>
      <c r="Z35" s="35"/>
      <c r="AA35"/>
      <c r="AB35" s="7">
        <v>4863.7550181022889</v>
      </c>
      <c r="AD35" s="15"/>
      <c r="AE35" s="14"/>
    </row>
    <row r="36" spans="1:32" s="6" customFormat="1" x14ac:dyDescent="0.25">
      <c r="A36" s="176"/>
      <c r="B36" s="5" t="s">
        <v>2</v>
      </c>
      <c r="C36" s="7"/>
      <c r="D36" s="7">
        <f ca="1">MAX((D26-D46-D56)*'Entradas 5.65'!J42,0)</f>
        <v>14486.167604662583</v>
      </c>
      <c r="E36" s="7">
        <f ca="1">MAX((E26-E46-E56)*'Entradas 5.65'!K42,0)</f>
        <v>15830.040509841296</v>
      </c>
      <c r="F36" s="7">
        <f ca="1">MAX((F26-F46-F56)*'Entradas 5.65'!L42,0)</f>
        <v>17075.394642228679</v>
      </c>
      <c r="G36" s="7">
        <f ca="1">MAX((G26-G46-G56)*'Entradas 5.65'!M42,0)</f>
        <v>18300.72251405329</v>
      </c>
      <c r="H36" s="7">
        <f ca="1">MAX((H26-H46-H56)*'Entradas 5.65'!N42,0)</f>
        <v>19826.275032121332</v>
      </c>
      <c r="I36" s="7">
        <f ca="1">MAX((I26-I46-I56)*'Entradas 5.65'!O42,0)</f>
        <v>21232.690091413795</v>
      </c>
      <c r="J36" s="7">
        <f ca="1">MAX((J26-J46-J56)*'Entradas 5.65'!P42,0)</f>
        <v>22149.994826714232</v>
      </c>
      <c r="K36" s="7">
        <f ca="1">MAX((K26-K46-K56)*'Entradas 5.65'!Q42,0)</f>
        <v>22880.046467415974</v>
      </c>
      <c r="L36" s="7">
        <f ca="1">MAX((L26-L46-L56)*'Entradas 5.65'!R42,0)</f>
        <v>22826.741167516106</v>
      </c>
      <c r="M36" s="7">
        <f ca="1">MAX((M26-M46-M56)*'Entradas 5.65'!S42,0)</f>
        <v>23540.76063772331</v>
      </c>
      <c r="N36" s="7">
        <f ca="1">MAX((N26-N46-N56)*'Entradas 5.65'!T42,0)</f>
        <v>23597.22676868712</v>
      </c>
      <c r="O36" s="7">
        <f ca="1">MAX((O26-O46-O56)*'Entradas 5.65'!U42,0)</f>
        <v>23831.554850067361</v>
      </c>
      <c r="P36" s="7">
        <f ca="1">MAX((P26-P46-P56)*'Entradas 5.65'!V42,0)</f>
        <v>24316.768552311976</v>
      </c>
      <c r="Q36" s="7">
        <f ca="1">MAX((Q26-Q46-Q56)*'Entradas 5.65'!W42,0)</f>
        <v>24861.269670564197</v>
      </c>
      <c r="R36" s="7">
        <f ca="1">MAX((R26-R46-R56)*'Entradas 5.65'!X42,0)</f>
        <v>25598.792075356941</v>
      </c>
      <c r="S36" s="7">
        <f ca="1">MAX((S26-S46-S56)*'Entradas 5.65'!Y42,0)</f>
        <v>25540.618311285882</v>
      </c>
      <c r="T36" s="7">
        <f ca="1">MAX((T26-T46-T56)*'Entradas 5.65'!Z42,0)</f>
        <v>25945.091101535501</v>
      </c>
      <c r="U36" s="7">
        <f ca="1">MAX((U26-U46-U56)*'Entradas 5.65'!AA42,0)</f>
        <v>26982.889237935557</v>
      </c>
      <c r="V36" s="7">
        <f ca="1">MAX((V26-V46-V56)*'Entradas 5.65'!AB42,0)</f>
        <v>27238.94459726967</v>
      </c>
      <c r="W36" s="7">
        <f ca="1">MAX((W26-W46-W56)*'Entradas 5.65'!AC42,0)</f>
        <v>27575.093358192989</v>
      </c>
      <c r="X36" s="7">
        <f ca="1">MAX((X26-X46-X56)*'Entradas 5.65'!AD42,0)</f>
        <v>0</v>
      </c>
      <c r="Y36" s="7"/>
      <c r="Z36" s="35"/>
      <c r="AA36"/>
      <c r="AB36" s="7">
        <v>2964.4639351913065</v>
      </c>
      <c r="AD36" s="15"/>
      <c r="AE36" s="14"/>
    </row>
    <row r="37" spans="1:32" s="6" customFormat="1" x14ac:dyDescent="0.25">
      <c r="A37" s="176"/>
      <c r="B37" s="5" t="s">
        <v>6</v>
      </c>
      <c r="C37" s="7"/>
      <c r="D37" s="7">
        <f t="shared" ref="D37" ca="1" si="44">C11-D47-D57</f>
        <v>12415.962992365236</v>
      </c>
      <c r="E37" s="7">
        <f t="shared" ref="E37" ca="1" si="45">D11-E47-E57</f>
        <v>12416.273689323232</v>
      </c>
      <c r="F37" s="7">
        <f t="shared" ref="F37" ca="1" si="46">E11-F47-F57</f>
        <v>12416.216452404342</v>
      </c>
      <c r="G37" s="7">
        <f t="shared" ref="G37" ca="1" si="47">F11-G47-G57</f>
        <v>13568.061255708273</v>
      </c>
      <c r="H37" s="7">
        <f t="shared" ref="H37" ca="1" si="48">G11-H47-H57</f>
        <v>14635.464787795056</v>
      </c>
      <c r="I37" s="7">
        <f t="shared" ref="I37" ca="1" si="49">H11-I47-I57</f>
        <v>15685.703643021439</v>
      </c>
      <c r="J37" s="7">
        <f t="shared" ref="J37" ca="1" si="50">I11-J47-J57</f>
        <v>16993.267575095968</v>
      </c>
      <c r="K37" s="7">
        <f t="shared" ref="K37" ca="1" si="51">J11-K47-K57</f>
        <v>18198.717786266781</v>
      </c>
      <c r="L37" s="7">
        <f t="shared" ref="L37" ca="1" si="52">K11-L47-L57</f>
        <v>18984.947412841018</v>
      </c>
      <c r="M37" s="7">
        <f t="shared" ref="M37" ca="1" si="53">L11-M47-M57</f>
        <v>19610.68083245631</v>
      </c>
      <c r="N37" s="7">
        <f t="shared" ref="N37" ca="1" si="54">M11-N47-N57</f>
        <v>19564.992410253875</v>
      </c>
      <c r="O37" s="7">
        <f t="shared" ref="O37" ca="1" si="55">N11-O47-O57</f>
        <v>20176.984521298502</v>
      </c>
      <c r="P37" s="7">
        <f t="shared" ref="P37" ca="1" si="56">O11-P47-P57</f>
        <v>20225.382118469111</v>
      </c>
      <c r="Q37" s="7">
        <f t="shared" ref="Q37" ca="1" si="57">P11-Q47-Q57</f>
        <v>20426.226693700813</v>
      </c>
      <c r="R37" s="7">
        <f t="shared" ref="R37" ca="1" si="58">Q11-R47-R57</f>
        <v>20842.107450927633</v>
      </c>
      <c r="S37" s="7">
        <f t="shared" ref="S37" ca="1" si="59">R11-S47-S57</f>
        <v>21308.80395253512</v>
      </c>
      <c r="T37" s="7">
        <f t="shared" ref="T37" ca="1" si="60">S11-T47-T57</f>
        <v>21940.940627072639</v>
      </c>
      <c r="U37" s="7">
        <f t="shared" ref="U37" ca="1" si="61">T11-U47-U57</f>
        <v>21891.079403161009</v>
      </c>
      <c r="V37" s="7">
        <f t="shared" ref="V37" ca="1" si="62">U11-V47-V57</f>
        <v>22237.756443624829</v>
      </c>
      <c r="W37" s="7">
        <f t="shared" ref="W37" ca="1" si="63">V11-W47-W57</f>
        <v>23127.261980706808</v>
      </c>
      <c r="X37" s="7">
        <f t="shared" ref="X37" ca="1" si="64">W11-X47-X57</f>
        <v>23461.691477393026</v>
      </c>
      <c r="Y37" s="7"/>
      <c r="Z37" s="35" t="str">
        <f ca="1">IF(MIN(D37:J37)&lt;0,ROW(B37),"-")</f>
        <v>-</v>
      </c>
      <c r="AA37"/>
      <c r="AB37" s="7">
        <v>16195.780999471683</v>
      </c>
      <c r="AD37" s="15"/>
      <c r="AE37" s="14"/>
    </row>
    <row r="38" spans="1:32" s="6" customFormat="1" x14ac:dyDescent="0.25">
      <c r="A38" s="176"/>
      <c r="B38" s="5" t="s">
        <v>5</v>
      </c>
      <c r="C38" s="7"/>
      <c r="D38" s="7">
        <f>C12*'Entradas 5.65'!K44</f>
        <v>8386.7672748024615</v>
      </c>
      <c r="E38" s="7">
        <f ca="1">D12*'Entradas 5.65'!L44</f>
        <v>8386.728613225705</v>
      </c>
      <c r="F38" s="7">
        <f ca="1">E12*'Entradas 5.65'!M44</f>
        <v>9164.7602951712743</v>
      </c>
      <c r="G38" s="7">
        <f ca="1">F12*'Entradas 5.65'!N44</f>
        <v>9885.7547928692366</v>
      </c>
      <c r="H38" s="7">
        <f ca="1">G12*'Entradas 5.65'!O44</f>
        <v>10595.155139715062</v>
      </c>
      <c r="I38" s="7">
        <f ca="1">H12*'Entradas 5.65'!P44</f>
        <v>11478.369755438665</v>
      </c>
      <c r="J38" s="7">
        <f ca="1">I12*'Entradas 5.65'!Q44</f>
        <v>12292.610052923776</v>
      </c>
      <c r="K38" s="7">
        <f ca="1">J12*'Entradas 5.65'!R44</f>
        <v>12823.681215466133</v>
      </c>
      <c r="L38" s="7">
        <f ca="1">K12*'Entradas 5.65'!S44</f>
        <v>13246.342691661877</v>
      </c>
      <c r="M38" s="7">
        <f ca="1">L12*'Entradas 5.65'!T44</f>
        <v>13215.481728561957</v>
      </c>
      <c r="N38" s="7">
        <f ca="1">M12*'Entradas 5.65'!U44</f>
        <v>13628.861421839809</v>
      </c>
      <c r="O38" s="7">
        <f ca="1">N12*'Entradas 5.65'!V44</f>
        <v>13661.552339766225</v>
      </c>
      <c r="P38" s="7">
        <f ca="1">O12*'Entradas 5.65'!W44</f>
        <v>13797.215965828473</v>
      </c>
      <c r="Q38" s="7">
        <f ca="1">P12*'Entradas 5.65'!X44</f>
        <v>14078.129161864828</v>
      </c>
      <c r="R38" s="7">
        <f ca="1">Q12*'Entradas 5.65'!Y44</f>
        <v>14393.36665137927</v>
      </c>
      <c r="S38" s="7">
        <f ca="1">R12*'Entradas 5.65'!Z44</f>
        <v>14820.353306785599</v>
      </c>
      <c r="T38" s="7">
        <f ca="1">S12*'Entradas 5.65'!AA44</f>
        <v>14786.673759165509</v>
      </c>
      <c r="U38" s="7">
        <f ca="1">T12*'Entradas 5.65'!AB44</f>
        <v>15020.842216678448</v>
      </c>
      <c r="V38" s="7">
        <f ca="1">U12*'Entradas 5.65'!AC44</f>
        <v>15621.672716699533</v>
      </c>
      <c r="W38" s="7">
        <f ca="1">V12*'Entradas 5.65'!AD44</f>
        <v>15769.915293156126</v>
      </c>
      <c r="X38" s="7">
        <f ca="1">W12*'Entradas 5.65'!AE44</f>
        <v>0</v>
      </c>
      <c r="Y38" s="7"/>
      <c r="Z38" s="35" t="str">
        <f ca="1">IF(MIN(D38:J38)&lt;0,ROW(B38),"-")</f>
        <v>-</v>
      </c>
      <c r="AA38"/>
      <c r="AB38" s="7">
        <v>5460.8546174576732</v>
      </c>
      <c r="AD38" s="15"/>
      <c r="AE38" s="14"/>
    </row>
    <row r="39" spans="1:32" s="6" customFormat="1" ht="15.75" thickBot="1" x14ac:dyDescent="0.3">
      <c r="A39" s="177"/>
      <c r="B39" s="5" t="s">
        <v>1</v>
      </c>
      <c r="C39" s="7"/>
      <c r="D39" s="7">
        <f ca="1">D29*'Entradas 5.65'!K45</f>
        <v>15248.597478592194</v>
      </c>
      <c r="E39" s="7">
        <f ca="1">E29*'Entradas 5.65'!L45</f>
        <v>16663.200536675049</v>
      </c>
      <c r="F39" s="7">
        <f ca="1">F29*'Entradas 5.65'!M45</f>
        <v>17974.099623398612</v>
      </c>
      <c r="G39" s="7">
        <f ca="1">G29*'Entradas 5.65'!N45</f>
        <v>19263.918435845568</v>
      </c>
      <c r="H39" s="7">
        <f ca="1">H29*'Entradas 5.65'!O45</f>
        <v>20869.763191706665</v>
      </c>
      <c r="I39" s="7">
        <f ca="1">I29*'Entradas 5.65'!P45</f>
        <v>22350.200096225046</v>
      </c>
      <c r="J39" s="7">
        <f ca="1">J29*'Entradas 5.65'!Q45</f>
        <v>23315.784028120241</v>
      </c>
      <c r="K39" s="7">
        <f ca="1">K29*'Entradas 5.65'!R45</f>
        <v>24084.259439385238</v>
      </c>
      <c r="L39" s="7">
        <f ca="1">L29*'Entradas 5.65'!S45</f>
        <v>24028.148597385374</v>
      </c>
      <c r="M39" s="7">
        <f ca="1">M29*'Entradas 5.65'!T45</f>
        <v>24779.748039708749</v>
      </c>
      <c r="N39" s="7">
        <f ca="1">N29*'Entradas 5.65'!U45</f>
        <v>24839.186072302229</v>
      </c>
      <c r="O39" s="7">
        <f ca="1">O29*'Entradas 5.65'!V45</f>
        <v>25085.847210597225</v>
      </c>
      <c r="P39" s="7">
        <f ca="1">P29*'Entradas 5.65'!W45</f>
        <v>25596.59847611787</v>
      </c>
      <c r="Q39" s="7">
        <f ca="1">Q29*'Entradas 5.65'!X45</f>
        <v>26169.757547962312</v>
      </c>
      <c r="R39" s="7">
        <f ca="1">R29*'Entradas 5.65'!Y45</f>
        <v>26946.096921428358</v>
      </c>
      <c r="S39" s="7">
        <f ca="1">S29*'Entradas 5.65'!Z45</f>
        <v>26884.861380300928</v>
      </c>
      <c r="T39" s="7">
        <f ca="1">T29*'Entradas 5.65'!AA45</f>
        <v>27310.622212142633</v>
      </c>
      <c r="U39" s="7">
        <f ca="1">U29*'Entradas 5.65'!AB45</f>
        <v>28403.04130309006</v>
      </c>
      <c r="V39" s="7">
        <f ca="1">V29*'Entradas 5.65'!AC45</f>
        <v>28672.573260283869</v>
      </c>
      <c r="W39" s="7">
        <f ca="1">W29*'Entradas 5.65'!AD45</f>
        <v>29026.414061255779</v>
      </c>
      <c r="X39" s="7">
        <f ca="1">X29*'Entradas 5.65'!AE45</f>
        <v>0</v>
      </c>
      <c r="Y39" s="7"/>
      <c r="Z39" s="35" t="str">
        <f ca="1">IF(MIN(D39:J39)&lt;0,ROW(B39),"-")</f>
        <v>-</v>
      </c>
      <c r="AA39"/>
      <c r="AB39" s="7">
        <v>7801.2208820823889</v>
      </c>
      <c r="AD39" s="15"/>
      <c r="AE39" s="14"/>
    </row>
    <row r="40" spans="1:32" s="6" customFormat="1" ht="15.75" thickBot="1" x14ac:dyDescent="0.3">
      <c r="A40" s="10"/>
      <c r="B40" s="72" t="s">
        <v>21</v>
      </c>
      <c r="C40" s="73"/>
      <c r="D40" s="73">
        <f ca="1">SUM(D32:D39)</f>
        <v>60780.856520145775</v>
      </c>
      <c r="E40" s="73">
        <f t="shared" ref="E40:K40" ca="1" si="65">SUM(E32:E39)</f>
        <v>63912.90463410769</v>
      </c>
      <c r="F40" s="73">
        <f t="shared" ca="1" si="65"/>
        <v>67211.034255193561</v>
      </c>
      <c r="G40" s="73">
        <f t="shared" ca="1" si="65"/>
        <v>72699.215934294829</v>
      </c>
      <c r="H40" s="73">
        <f t="shared" ca="1" si="65"/>
        <v>78907.633128779693</v>
      </c>
      <c r="I40" s="73">
        <f t="shared" ca="1" si="65"/>
        <v>88945.494973013774</v>
      </c>
      <c r="J40" s="73">
        <f t="shared" ca="1" si="65"/>
        <v>95920.460590141738</v>
      </c>
      <c r="K40" s="73">
        <f t="shared" ca="1" si="65"/>
        <v>105887.65852384728</v>
      </c>
      <c r="L40" s="73">
        <f t="shared" ref="L40:M40" ca="1" si="66">SUM(L32:L39)</f>
        <v>103146.00317399709</v>
      </c>
      <c r="M40" s="73">
        <f t="shared" ca="1" si="66"/>
        <v>110307.16474665444</v>
      </c>
      <c r="N40" s="73">
        <f t="shared" ref="N40:X40" ca="1" si="67">SUM(N32:N39)</f>
        <v>108818.30786693789</v>
      </c>
      <c r="O40" s="73">
        <f t="shared" ca="1" si="67"/>
        <v>110665.38183688789</v>
      </c>
      <c r="P40" s="73">
        <f t="shared" ca="1" si="67"/>
        <v>109961.67208641702</v>
      </c>
      <c r="Q40" s="73">
        <f t="shared" ca="1" si="67"/>
        <v>111899.95450371472</v>
      </c>
      <c r="R40" s="73">
        <f t="shared" ca="1" si="67"/>
        <v>118905.74456528905</v>
      </c>
      <c r="S40" s="73">
        <f t="shared" ca="1" si="67"/>
        <v>118200.42475423744</v>
      </c>
      <c r="T40" s="73">
        <f t="shared" ca="1" si="67"/>
        <v>116497.5839722924</v>
      </c>
      <c r="U40" s="73">
        <f t="shared" ca="1" si="67"/>
        <v>122795.11787377697</v>
      </c>
      <c r="V40" s="73">
        <f t="shared" ca="1" si="67"/>
        <v>125169.14952818064</v>
      </c>
      <c r="W40" s="73">
        <f t="shared" ca="1" si="67"/>
        <v>128581.37168402399</v>
      </c>
      <c r="X40" s="73" t="e">
        <f t="shared" ca="1" si="67"/>
        <v>#VALUE!</v>
      </c>
      <c r="Y40" s="7"/>
      <c r="Z40" s="35"/>
      <c r="AA40"/>
      <c r="AB40" s="73">
        <v>45505.621175173175</v>
      </c>
      <c r="AE40" s="15"/>
      <c r="AF40" s="14"/>
    </row>
    <row r="41" spans="1:32" s="6" customFormat="1" ht="15.75" thickBot="1" x14ac:dyDescent="0.3">
      <c r="A41" s="10"/>
      <c r="B41" s="1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35"/>
      <c r="AA41"/>
      <c r="AB41" s="7"/>
      <c r="AD41" s="15"/>
      <c r="AE41" s="14"/>
    </row>
    <row r="42" spans="1:32" s="6" customFormat="1" x14ac:dyDescent="0.25">
      <c r="A42" s="175" t="s">
        <v>71</v>
      </c>
      <c r="B42" s="5" t="s">
        <v>0</v>
      </c>
      <c r="C42" s="7"/>
      <c r="D42" s="7">
        <f>'Entradas 5.65'!J52</f>
        <v>0</v>
      </c>
      <c r="E42" s="7">
        <f>'Entradas 5.65'!K52</f>
        <v>0</v>
      </c>
      <c r="F42" s="7">
        <f>'Entradas 5.65'!L52</f>
        <v>0</v>
      </c>
      <c r="G42" s="7">
        <f>'Entradas 5.65'!M52</f>
        <v>0</v>
      </c>
      <c r="H42" s="7">
        <f>'Entradas 5.65'!N52</f>
        <v>0</v>
      </c>
      <c r="I42" s="7">
        <f>'Entradas 5.65'!O52</f>
        <v>0</v>
      </c>
      <c r="J42" s="7">
        <f>'Entradas 5.65'!P52</f>
        <v>0</v>
      </c>
      <c r="K42" s="7">
        <f>'Entradas 5.65'!Q52</f>
        <v>0</v>
      </c>
      <c r="L42" s="7">
        <f>'Entradas 5.65'!R52</f>
        <v>0</v>
      </c>
      <c r="M42" s="7">
        <f>'Entradas 5.65'!S52</f>
        <v>0</v>
      </c>
      <c r="N42" s="7">
        <f>'Entradas 5.65'!T52</f>
        <v>0</v>
      </c>
      <c r="O42" s="7">
        <f>'Entradas 5.65'!U52</f>
        <v>0</v>
      </c>
      <c r="P42" s="7">
        <f>'Entradas 5.65'!V52</f>
        <v>0</v>
      </c>
      <c r="Q42" s="7">
        <f>'Entradas 5.65'!W52</f>
        <v>0</v>
      </c>
      <c r="R42" s="7">
        <f>'Entradas 5.65'!X52</f>
        <v>0</v>
      </c>
      <c r="S42" s="7">
        <f>'Entradas 5.65'!Y52</f>
        <v>0</v>
      </c>
      <c r="T42" s="7">
        <f>'Entradas 5.65'!Z52</f>
        <v>0</v>
      </c>
      <c r="U42" s="7">
        <f>'Entradas 5.65'!AA52</f>
        <v>0</v>
      </c>
      <c r="V42" s="7">
        <f>'Entradas 5.65'!AB52</f>
        <v>0</v>
      </c>
      <c r="W42" s="7">
        <f>'Entradas 5.65'!AC52</f>
        <v>0</v>
      </c>
      <c r="X42" s="7">
        <f>'Entradas 5.65'!AD52</f>
        <v>0</v>
      </c>
      <c r="Y42" s="7"/>
      <c r="Z42" s="35"/>
      <c r="AA42"/>
      <c r="AB42" s="7"/>
      <c r="AD42" s="15"/>
      <c r="AE42" s="14"/>
    </row>
    <row r="43" spans="1:32" s="6" customFormat="1" x14ac:dyDescent="0.25">
      <c r="A43" s="176"/>
      <c r="B43" s="2" t="s">
        <v>12</v>
      </c>
      <c r="C43" s="7"/>
      <c r="D43" s="7">
        <f>'Entradas 5.65'!J53</f>
        <v>0</v>
      </c>
      <c r="E43" s="7">
        <f>'Entradas 5.65'!K53</f>
        <v>0</v>
      </c>
      <c r="F43" s="7">
        <f>'Entradas 5.65'!L53</f>
        <v>0</v>
      </c>
      <c r="G43" s="7">
        <f>'Entradas 5.65'!M53</f>
        <v>0</v>
      </c>
      <c r="H43" s="7">
        <f>'Entradas 5.65'!N53</f>
        <v>0</v>
      </c>
      <c r="I43" s="7">
        <f>'Entradas 5.65'!O53</f>
        <v>0</v>
      </c>
      <c r="J43" s="7">
        <f>'Entradas 5.65'!P53</f>
        <v>0</v>
      </c>
      <c r="K43" s="7">
        <f>'Entradas 5.65'!Q53</f>
        <v>0</v>
      </c>
      <c r="L43" s="7">
        <f>'Entradas 5.65'!R53</f>
        <v>0</v>
      </c>
      <c r="M43" s="7">
        <f>'Entradas 5.65'!S53</f>
        <v>0</v>
      </c>
      <c r="N43" s="7">
        <f>'Entradas 5.65'!T53</f>
        <v>0</v>
      </c>
      <c r="O43" s="7">
        <f>'Entradas 5.65'!U53</f>
        <v>0</v>
      </c>
      <c r="P43" s="7">
        <f>'Entradas 5.65'!V53</f>
        <v>0</v>
      </c>
      <c r="Q43" s="7">
        <f>'Entradas 5.65'!W53</f>
        <v>0</v>
      </c>
      <c r="R43" s="7">
        <f>'Entradas 5.65'!X53</f>
        <v>0</v>
      </c>
      <c r="S43" s="7">
        <f>'Entradas 5.65'!Y53</f>
        <v>0</v>
      </c>
      <c r="T43" s="7">
        <f>'Entradas 5.65'!Z53</f>
        <v>0</v>
      </c>
      <c r="U43" s="7">
        <f>'Entradas 5.65'!AA53</f>
        <v>0</v>
      </c>
      <c r="V43" s="7">
        <f>'Entradas 5.65'!AB53</f>
        <v>0</v>
      </c>
      <c r="W43" s="7">
        <f>'Entradas 5.65'!AC53</f>
        <v>0</v>
      </c>
      <c r="X43" s="7">
        <f>'Entradas 5.65'!AD53</f>
        <v>0</v>
      </c>
      <c r="Y43" s="7"/>
      <c r="Z43" s="35" t="str">
        <f t="shared" ref="Z43:Z49" si="68">IF(MIN(D43:J43)&lt;0,ROW(B43),"-")</f>
        <v>-</v>
      </c>
      <c r="AA43"/>
      <c r="AB43" s="7"/>
      <c r="AD43" s="15"/>
      <c r="AE43" s="14"/>
    </row>
    <row r="44" spans="1:32" s="6" customFormat="1" x14ac:dyDescent="0.25">
      <c r="A44" s="176"/>
      <c r="B44" s="5" t="s">
        <v>4</v>
      </c>
      <c r="C44" s="7"/>
      <c r="D44" s="7">
        <f>'Entradas 5.65'!J54</f>
        <v>0</v>
      </c>
      <c r="E44" s="7">
        <f>'Entradas 5.65'!K54</f>
        <v>0</v>
      </c>
      <c r="F44" s="7">
        <f>'Entradas 5.65'!L54</f>
        <v>0</v>
      </c>
      <c r="G44" s="7">
        <f>'Entradas 5.65'!M54</f>
        <v>0</v>
      </c>
      <c r="H44" s="7">
        <f>'Entradas 5.65'!N54</f>
        <v>0</v>
      </c>
      <c r="I44" s="7">
        <f>'Entradas 5.65'!O54</f>
        <v>0</v>
      </c>
      <c r="J44" s="7">
        <f>'Entradas 5.65'!P54</f>
        <v>0</v>
      </c>
      <c r="K44" s="7">
        <f>'Entradas 5.65'!Q54</f>
        <v>0</v>
      </c>
      <c r="L44" s="7">
        <f>'Entradas 5.65'!R54</f>
        <v>0</v>
      </c>
      <c r="M44" s="7">
        <f>'Entradas 5.65'!S54</f>
        <v>0</v>
      </c>
      <c r="N44" s="7">
        <f>'Entradas 5.65'!T54</f>
        <v>0</v>
      </c>
      <c r="O44" s="7">
        <f>'Entradas 5.65'!U54</f>
        <v>0</v>
      </c>
      <c r="P44" s="7">
        <f>'Entradas 5.65'!V54</f>
        <v>0</v>
      </c>
      <c r="Q44" s="7">
        <f>'Entradas 5.65'!W54</f>
        <v>0</v>
      </c>
      <c r="R44" s="7">
        <f>'Entradas 5.65'!X54</f>
        <v>0</v>
      </c>
      <c r="S44" s="7">
        <f>'Entradas 5.65'!Y54</f>
        <v>0</v>
      </c>
      <c r="T44" s="7">
        <f>'Entradas 5.65'!Z54</f>
        <v>0</v>
      </c>
      <c r="U44" s="7">
        <f>'Entradas 5.65'!AA54</f>
        <v>0</v>
      </c>
      <c r="V44" s="7">
        <f>'Entradas 5.65'!AB54</f>
        <v>0</v>
      </c>
      <c r="W44" s="7">
        <f>'Entradas 5.65'!AC54</f>
        <v>0</v>
      </c>
      <c r="X44" s="7">
        <f>'Entradas 5.65'!AD54</f>
        <v>0</v>
      </c>
      <c r="Y44" s="7"/>
      <c r="Z44" s="35" t="str">
        <f t="shared" si="68"/>
        <v>-</v>
      </c>
      <c r="AA44"/>
      <c r="AB44" s="7"/>
      <c r="AD44" s="15"/>
      <c r="AE44" s="14"/>
    </row>
    <row r="45" spans="1:32" s="6" customFormat="1" x14ac:dyDescent="0.25">
      <c r="A45" s="176"/>
      <c r="B45" s="5" t="s">
        <v>73</v>
      </c>
      <c r="C45" s="7"/>
      <c r="D45" s="7">
        <f>'Entradas 5.65'!J55</f>
        <v>0</v>
      </c>
      <c r="E45" s="7">
        <f>'Entradas 5.65'!K55</f>
        <v>0</v>
      </c>
      <c r="F45" s="7">
        <f>'Entradas 5.65'!L55</f>
        <v>0</v>
      </c>
      <c r="G45" s="7">
        <f>'Entradas 5.65'!M55</f>
        <v>0</v>
      </c>
      <c r="H45" s="7">
        <f>'Entradas 5.65'!N55</f>
        <v>0</v>
      </c>
      <c r="I45" s="7">
        <f>'Entradas 5.65'!O55</f>
        <v>0</v>
      </c>
      <c r="J45" s="7">
        <f>'Entradas 5.65'!P55</f>
        <v>0</v>
      </c>
      <c r="K45" s="7">
        <f>'Entradas 5.65'!Q55</f>
        <v>0</v>
      </c>
      <c r="L45" s="7">
        <f>'Entradas 5.65'!R55</f>
        <v>0</v>
      </c>
      <c r="M45" s="7">
        <f>'Entradas 5.65'!S55</f>
        <v>0</v>
      </c>
      <c r="N45" s="7">
        <f>'Entradas 5.65'!T55</f>
        <v>0</v>
      </c>
      <c r="O45" s="7">
        <f>'Entradas 5.65'!U55</f>
        <v>0</v>
      </c>
      <c r="P45" s="7">
        <f>'Entradas 5.65'!V55</f>
        <v>0</v>
      </c>
      <c r="Q45" s="7">
        <f>'Entradas 5.65'!W55</f>
        <v>0</v>
      </c>
      <c r="R45" s="7">
        <f>'Entradas 5.65'!X55</f>
        <v>0</v>
      </c>
      <c r="S45" s="7">
        <f>'Entradas 5.65'!Y55</f>
        <v>0</v>
      </c>
      <c r="T45" s="7">
        <f>'Entradas 5.65'!Z55</f>
        <v>0</v>
      </c>
      <c r="U45" s="7">
        <f>'Entradas 5.65'!AA55</f>
        <v>0</v>
      </c>
      <c r="V45" s="7">
        <f>'Entradas 5.65'!AB55</f>
        <v>0</v>
      </c>
      <c r="W45" s="7">
        <f>'Entradas 5.65'!AC55</f>
        <v>0</v>
      </c>
      <c r="X45" s="7">
        <f>'Entradas 5.65'!AD55</f>
        <v>0</v>
      </c>
      <c r="Y45" s="7"/>
      <c r="Z45" s="35" t="str">
        <f t="shared" si="68"/>
        <v>-</v>
      </c>
      <c r="AA45"/>
      <c r="AB45" s="7"/>
      <c r="AD45" s="15"/>
      <c r="AE45" s="14"/>
    </row>
    <row r="46" spans="1:32" s="6" customFormat="1" x14ac:dyDescent="0.25">
      <c r="A46" s="176"/>
      <c r="B46" s="5" t="s">
        <v>2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35" t="str">
        <f t="shared" si="68"/>
        <v>-</v>
      </c>
      <c r="AA46"/>
      <c r="AB46" s="7"/>
      <c r="AD46" s="15"/>
      <c r="AE46" s="14"/>
    </row>
    <row r="47" spans="1:32" s="6" customFormat="1" x14ac:dyDescent="0.25">
      <c r="A47" s="176"/>
      <c r="B47" s="5" t="s">
        <v>6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35" t="str">
        <f t="shared" si="68"/>
        <v>-</v>
      </c>
      <c r="AA47"/>
      <c r="AB47" s="7"/>
      <c r="AD47" s="15"/>
      <c r="AE47" s="14"/>
    </row>
    <row r="48" spans="1:32" s="6" customFormat="1" x14ac:dyDescent="0.25">
      <c r="A48" s="176"/>
      <c r="B48" s="5" t="s">
        <v>5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35" t="str">
        <f t="shared" si="68"/>
        <v>-</v>
      </c>
      <c r="AA48"/>
      <c r="AB48" s="7"/>
      <c r="AD48" s="15"/>
      <c r="AE48" s="14"/>
    </row>
    <row r="49" spans="1:32" s="6" customFormat="1" ht="15.75" thickBot="1" x14ac:dyDescent="0.3">
      <c r="A49" s="177"/>
      <c r="B49" s="5" t="s">
        <v>1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35" t="str">
        <f t="shared" si="68"/>
        <v>-</v>
      </c>
      <c r="AA49"/>
      <c r="AB49" s="7"/>
      <c r="AD49" s="15"/>
      <c r="AE49" s="14"/>
    </row>
    <row r="50" spans="1:32" s="6" customFormat="1" ht="15.75" thickBot="1" x14ac:dyDescent="0.3">
      <c r="A50" s="10"/>
      <c r="B50" s="72" t="s">
        <v>21</v>
      </c>
      <c r="C50" s="73"/>
      <c r="D50" s="73">
        <f>SUM(D42:D49)</f>
        <v>0</v>
      </c>
      <c r="E50" s="73">
        <f t="shared" ref="E50:K50" si="69">SUM(E42:E49)</f>
        <v>0</v>
      </c>
      <c r="F50" s="73">
        <f t="shared" si="69"/>
        <v>0</v>
      </c>
      <c r="G50" s="73">
        <f t="shared" si="69"/>
        <v>0</v>
      </c>
      <c r="H50" s="73">
        <f t="shared" si="69"/>
        <v>0</v>
      </c>
      <c r="I50" s="73">
        <f t="shared" si="69"/>
        <v>0</v>
      </c>
      <c r="J50" s="73">
        <f t="shared" si="69"/>
        <v>0</v>
      </c>
      <c r="K50" s="73">
        <f t="shared" si="69"/>
        <v>0</v>
      </c>
      <c r="L50" s="73">
        <f t="shared" ref="L50:M50" si="70">SUM(L42:L49)</f>
        <v>0</v>
      </c>
      <c r="M50" s="73">
        <f t="shared" si="70"/>
        <v>0</v>
      </c>
      <c r="N50" s="73">
        <f t="shared" ref="N50:X50" si="71">SUM(N42:N49)</f>
        <v>0</v>
      </c>
      <c r="O50" s="73">
        <f t="shared" si="71"/>
        <v>0</v>
      </c>
      <c r="P50" s="73">
        <f t="shared" si="71"/>
        <v>0</v>
      </c>
      <c r="Q50" s="73">
        <f t="shared" si="71"/>
        <v>0</v>
      </c>
      <c r="R50" s="73">
        <f t="shared" si="71"/>
        <v>0</v>
      </c>
      <c r="S50" s="73">
        <f t="shared" si="71"/>
        <v>0</v>
      </c>
      <c r="T50" s="73">
        <f t="shared" si="71"/>
        <v>0</v>
      </c>
      <c r="U50" s="73">
        <f t="shared" si="71"/>
        <v>0</v>
      </c>
      <c r="V50" s="73">
        <f t="shared" si="71"/>
        <v>0</v>
      </c>
      <c r="W50" s="73">
        <f t="shared" si="71"/>
        <v>0</v>
      </c>
      <c r="X50" s="73">
        <f t="shared" si="71"/>
        <v>0</v>
      </c>
      <c r="Y50" s="7"/>
      <c r="Z50" s="35"/>
      <c r="AA50"/>
      <c r="AB50" s="73">
        <v>10000</v>
      </c>
      <c r="AE50" s="15"/>
      <c r="AF50" s="14"/>
    </row>
    <row r="51" spans="1:32" s="6" customFormat="1" ht="15.75" thickBot="1" x14ac:dyDescent="0.3">
      <c r="A51" s="10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35"/>
      <c r="AA51"/>
      <c r="AB51" s="7"/>
      <c r="AD51" s="15"/>
      <c r="AE51" s="14"/>
    </row>
    <row r="52" spans="1:32" s="6" customFormat="1" x14ac:dyDescent="0.25">
      <c r="A52" s="175" t="s">
        <v>11</v>
      </c>
      <c r="B52" s="5" t="s">
        <v>0</v>
      </c>
      <c r="C52" s="7"/>
      <c r="D52" s="7">
        <f ca="1">C5*'Entradas 5.65'!K29</f>
        <v>2148.2921336875529</v>
      </c>
      <c r="E52" s="7">
        <f ca="1">D5*'Entradas 5.65'!L29</f>
        <v>2379.4146998217161</v>
      </c>
      <c r="F52" s="7">
        <f ca="1">E5*'Entradas 5.65'!M29</f>
        <v>2593.5560998118322</v>
      </c>
      <c r="G52" s="7">
        <f ca="1">F5*'Entradas 5.65'!N29</f>
        <v>2801.6435246583233</v>
      </c>
      <c r="H52" s="7">
        <f ca="1">G5*'Entradas 5.65'!O29</f>
        <v>3013.7191736662876</v>
      </c>
      <c r="I52" s="7">
        <f ca="1">H5*'Entradas 5.65'!P29</f>
        <v>3240.5795516623157</v>
      </c>
      <c r="J52" s="7">
        <f ca="1">I5*'Entradas 5.65'!Q29</f>
        <v>3358.701129389055</v>
      </c>
      <c r="K52" s="7">
        <f ca="1">J5*'Entradas 5.65'!R29</f>
        <v>3451.4186919216154</v>
      </c>
      <c r="L52" s="7">
        <f ca="1">K5*'Entradas 5.65'!S29</f>
        <v>3409.3078391440022</v>
      </c>
      <c r="M52" s="7">
        <f ca="1">L5*'Entradas 5.65'!T29</f>
        <v>3518.0285467897338</v>
      </c>
      <c r="N52" s="7">
        <f ca="1">M5*'Entradas 5.65'!U29</f>
        <v>3509.489779976037</v>
      </c>
      <c r="O52" s="7">
        <f ca="1">N5*'Entradas 5.65'!V29</f>
        <v>3562.2439916311323</v>
      </c>
      <c r="P52" s="7">
        <f ca="1">O5*'Entradas 5.65'!W29</f>
        <v>3610.493574207519</v>
      </c>
      <c r="Q52" s="7">
        <f ca="1">P5*'Entradas 5.65'!X29</f>
        <v>3725.4295188269903</v>
      </c>
      <c r="R52" s="7">
        <f ca="1">Q5*'Entradas 5.65'!Y29</f>
        <v>3827.4217691886674</v>
      </c>
      <c r="S52" s="7">
        <f ca="1">R5*'Entradas 5.65'!Z29</f>
        <v>3815.7827922998554</v>
      </c>
      <c r="T52" s="7">
        <f ca="1">S5*'Entradas 5.65'!AA29</f>
        <v>3864.0207105106597</v>
      </c>
      <c r="U52" s="7">
        <f ca="1">T5*'Entradas 5.65'!AB29</f>
        <v>4029.7107872601987</v>
      </c>
      <c r="V52" s="7">
        <f ca="1">U5*'Entradas 5.65'!AC29</f>
        <v>4082.9628706672975</v>
      </c>
      <c r="W52" s="7">
        <f ca="1">V5*'Entradas 5.65'!AD29</f>
        <v>4117.4473839582652</v>
      </c>
      <c r="X52" s="7">
        <f ca="1">W5*'Entradas 5.65'!AE29</f>
        <v>0</v>
      </c>
      <c r="Y52" s="7"/>
      <c r="Z52" s="35" t="str">
        <f t="shared" ref="Z52:Z59" ca="1" si="72">IF(MIN(D52:J52)&lt;0,ROW(B52),"-")</f>
        <v>-</v>
      </c>
      <c r="AA52"/>
      <c r="AB52" s="7">
        <v>2180.8951367081077</v>
      </c>
      <c r="AD52" s="15"/>
      <c r="AE52" s="14"/>
    </row>
    <row r="53" spans="1:32" s="6" customFormat="1" x14ac:dyDescent="0.25">
      <c r="A53" s="176"/>
      <c r="B53" s="2" t="s">
        <v>12</v>
      </c>
      <c r="C53" s="7"/>
      <c r="D53" s="7">
        <f ca="1">C7*'Entradas 5.65'!K30</f>
        <v>258.63558719279109</v>
      </c>
      <c r="E53" s="7">
        <f ca="1">D7*'Entradas 5.65'!L30</f>
        <v>258.62524756944885</v>
      </c>
      <c r="F53" s="7">
        <f ca="1">E7*'Entradas 5.65'!M30</f>
        <v>258.65034315490328</v>
      </c>
      <c r="G53" s="7">
        <f ca="1">F7*'Entradas 5.65'!N30</f>
        <v>258.62722923380488</v>
      </c>
      <c r="H53" s="7">
        <f ca="1">G7*'Entradas 5.65'!O30</f>
        <v>306.19513175935964</v>
      </c>
      <c r="I53" s="7">
        <f ca="1">H7*'Entradas 5.65'!P30</f>
        <v>308.7790511498813</v>
      </c>
      <c r="J53" s="7">
        <f ca="1">I7*'Entradas 5.65'!Q30</f>
        <v>344.66282201823759</v>
      </c>
      <c r="K53" s="7">
        <f ca="1">J7*'Entradas 5.65'!R30</f>
        <v>367.06456985637982</v>
      </c>
      <c r="L53" s="7">
        <f ca="1">K7*'Entradas 5.65'!S30</f>
        <v>393.35487494154034</v>
      </c>
      <c r="M53" s="7">
        <f ca="1">L7*'Entradas 5.65'!T30</f>
        <v>400.42690966823687</v>
      </c>
      <c r="N53" s="7">
        <f ca="1">M7*'Entradas 5.65'!U30</f>
        <v>417.2066540894632</v>
      </c>
      <c r="O53" s="7">
        <f ca="1">N7*'Entradas 5.65'!V30</f>
        <v>399.91129968655406</v>
      </c>
      <c r="P53" s="7">
        <f ca="1">O7*'Entradas 5.65'!W30</f>
        <v>438.41762067708987</v>
      </c>
      <c r="Q53" s="7">
        <f ca="1">P7*'Entradas 5.65'!X30</f>
        <v>408.73235570326267</v>
      </c>
      <c r="R53" s="7">
        <f ca="1">Q7*'Entradas 5.65'!Y30</f>
        <v>438.68701747767335</v>
      </c>
      <c r="S53" s="7">
        <f ca="1">R7*'Entradas 5.65'!Z30</f>
        <v>432.98930905890916</v>
      </c>
      <c r="T53" s="7">
        <f ca="1">S7*'Entradas 5.65'!AA30</f>
        <v>453.93794586931614</v>
      </c>
      <c r="U53" s="7">
        <f ca="1">T7*'Entradas 5.65'!AB30</f>
        <v>462.38997796253528</v>
      </c>
      <c r="V53" s="7">
        <f ca="1">U7*'Entradas 5.65'!AC30</f>
        <v>450.66237854351215</v>
      </c>
      <c r="W53" s="7">
        <f ca="1">V7*'Entradas 5.65'!AD30</f>
        <v>474.27406409171306</v>
      </c>
      <c r="X53" s="7">
        <f ca="1">W7*'Entradas 5.65'!AE30</f>
        <v>0</v>
      </c>
      <c r="Y53" s="7"/>
      <c r="Z53" s="35" t="str">
        <f t="shared" ca="1" si="72"/>
        <v>-</v>
      </c>
      <c r="AA53"/>
      <c r="AB53" s="7">
        <v>224.9562788016577</v>
      </c>
      <c r="AD53" s="15"/>
      <c r="AE53" s="14"/>
    </row>
    <row r="54" spans="1:32" s="6" customFormat="1" x14ac:dyDescent="0.25">
      <c r="A54" s="176"/>
      <c r="B54" s="5" t="s">
        <v>4</v>
      </c>
      <c r="C54" s="7"/>
      <c r="D54" s="7">
        <f ca="1">C8*'Entradas 5.65'!K31</f>
        <v>312.66588843429469</v>
      </c>
      <c r="E54" s="7">
        <f ca="1">D8*'Entradas 5.65'!L31</f>
        <v>312.6905604509214</v>
      </c>
      <c r="F54" s="7">
        <f ca="1">E8*'Entradas 5.65'!M31</f>
        <v>312.67032717844057</v>
      </c>
      <c r="G54" s="7">
        <f ca="1">F8*'Entradas 5.65'!N31</f>
        <v>362.56608506559695</v>
      </c>
      <c r="H54" s="7">
        <f ca="1">G8*'Entradas 5.65'!O31</f>
        <v>372.88427763486288</v>
      </c>
      <c r="I54" s="7">
        <f ca="1">H8*'Entradas 5.65'!P31</f>
        <v>410.94015099467526</v>
      </c>
      <c r="J54" s="7">
        <f ca="1">I8*'Entradas 5.65'!Q31</f>
        <v>440.17888299668886</v>
      </c>
      <c r="K54" s="7">
        <f ca="1">J8*'Entradas 5.65'!R31</f>
        <v>471.34056616897141</v>
      </c>
      <c r="L54" s="7">
        <f ca="1">K8*'Entradas 5.65'!S31</f>
        <v>482.96389498873867</v>
      </c>
      <c r="M54" s="7">
        <f ca="1">L8*'Entradas 5.65'!T31</f>
        <v>501.69714602286706</v>
      </c>
      <c r="N54" s="7">
        <f ca="1">M8*'Entradas 5.65'!U31</f>
        <v>486.23767097829381</v>
      </c>
      <c r="O54" s="7">
        <f ca="1">N8*'Entradas 5.65'!V31</f>
        <v>523.86531071508773</v>
      </c>
      <c r="P54" s="7">
        <f ca="1">O8*'Entradas 5.65'!W31</f>
        <v>498.8834018737985</v>
      </c>
      <c r="Q54" s="7">
        <f ca="1">P8*'Entradas 5.65'!X31</f>
        <v>525.55867970561235</v>
      </c>
      <c r="R54" s="7">
        <f ca="1">Q8*'Entradas 5.65'!Y31</f>
        <v>524.37240066940626</v>
      </c>
      <c r="S54" s="7">
        <f ca="1">R8*'Entradas 5.65'!Z31</f>
        <v>545.43659493568362</v>
      </c>
      <c r="T54" s="7">
        <f ca="1">S8*'Entradas 5.65'!AA31</f>
        <v>557.65325923099954</v>
      </c>
      <c r="U54" s="7">
        <f ca="1">T8*'Entradas 5.65'!AB31</f>
        <v>546.70257771772674</v>
      </c>
      <c r="V54" s="7">
        <f ca="1">U8*'Entradas 5.65'!AC31</f>
        <v>569.59597917703309</v>
      </c>
      <c r="W54" s="7">
        <f ca="1">V8*'Entradas 5.65'!AD31</f>
        <v>591.64178358796596</v>
      </c>
      <c r="X54" s="7">
        <f ca="1">W8*'Entradas 5.65'!AE31</f>
        <v>0</v>
      </c>
      <c r="Y54" s="7"/>
      <c r="Z54" s="35" t="str">
        <f t="shared" ca="1" si="72"/>
        <v>-</v>
      </c>
      <c r="AA54"/>
      <c r="AB54" s="7">
        <v>526.68689236550347</v>
      </c>
      <c r="AD54" s="15"/>
      <c r="AE54" s="14"/>
    </row>
    <row r="55" spans="1:32" s="6" customFormat="1" x14ac:dyDescent="0.25">
      <c r="A55" s="176"/>
      <c r="B55" s="5" t="s">
        <v>73</v>
      </c>
      <c r="C55" s="7"/>
      <c r="D55" s="7">
        <f ca="1">C9*'Entradas 5.65'!K32</f>
        <v>541.06085423305149</v>
      </c>
      <c r="E55" s="7">
        <f ca="1">D9*'Entradas 5.65'!L32</f>
        <v>541.05836003414743</v>
      </c>
      <c r="F55" s="7">
        <f ca="1">E9*'Entradas 5.65'!M32</f>
        <v>591.25201304257223</v>
      </c>
      <c r="G55" s="7">
        <f ca="1">F9*'Entradas 5.65'!N32</f>
        <v>637.76598988724118</v>
      </c>
      <c r="H55" s="7">
        <f ca="1">G9*'Entradas 5.65'!O32</f>
        <v>683.53198589989029</v>
      </c>
      <c r="I55" s="7">
        <f ca="1">H9*'Entradas 5.65'!P32</f>
        <v>740.51137244973165</v>
      </c>
      <c r="J55" s="7">
        <f ca="1">I9*'Entradas 5.65'!Q32</f>
        <v>793.04097491430514</v>
      </c>
      <c r="K55" s="7">
        <f ca="1">J9*'Entradas 5.65'!R32</f>
        <v>827.30230677777638</v>
      </c>
      <c r="L55" s="7">
        <f ca="1">K9*'Entradas 5.65'!S32</f>
        <v>854.56973555798652</v>
      </c>
      <c r="M55" s="7">
        <f ca="1">L9*'Entradas 5.65'!T32</f>
        <v>852.57878260672635</v>
      </c>
      <c r="N55" s="7">
        <f ca="1">M9*'Entradas 5.65'!U32</f>
        <v>879.24740981896548</v>
      </c>
      <c r="O55" s="7">
        <f ca="1">N9*'Entradas 5.65'!V32</f>
        <v>881.35641981046365</v>
      </c>
      <c r="P55" s="7">
        <f ca="1">O9*'Entradas 5.65'!W32</f>
        <v>890.10857365001584</v>
      </c>
      <c r="Q55" s="7">
        <f ca="1">P9*'Entradas 5.65'!X32</f>
        <v>908.23130542885212</v>
      </c>
      <c r="R55" s="7">
        <f ca="1">Q9*'Entradas 5.65'!Y32</f>
        <v>928.56842219557245</v>
      </c>
      <c r="S55" s="7">
        <f ca="1">R9*'Entradas 5.65'!Z32</f>
        <v>956.11488401458166</v>
      </c>
      <c r="T55" s="7">
        <f ca="1">S9*'Entradas 5.65'!AA32</f>
        <v>953.94209392652738</v>
      </c>
      <c r="U55" s="7">
        <f ca="1">T9*'Entradas 5.65'!AB32</f>
        <v>969.0491526423508</v>
      </c>
      <c r="V55" s="7">
        <f ca="1">U9*'Entradas 5.65'!AC32</f>
        <v>1007.810913036893</v>
      </c>
      <c r="W55" s="7">
        <f ca="1">V9*'Entradas 5.65'!AD32</f>
        <v>1017.3745807080223</v>
      </c>
      <c r="X55" s="7">
        <f ca="1">W9*'Entradas 5.65'!AE32</f>
        <v>0</v>
      </c>
      <c r="Y55" s="7"/>
      <c r="Z55" s="35" t="str">
        <f t="shared" ca="1" si="72"/>
        <v>-</v>
      </c>
      <c r="AA55"/>
      <c r="AB55" s="7">
        <v>664.33636787637215</v>
      </c>
      <c r="AD55" s="15"/>
      <c r="AE55" s="14"/>
    </row>
    <row r="56" spans="1:32" s="6" customFormat="1" x14ac:dyDescent="0.25">
      <c r="A56" s="176"/>
      <c r="B56" s="5" t="s">
        <v>2</v>
      </c>
      <c r="C56" s="7"/>
      <c r="D56" s="7">
        <f ca="1">D26*'Entradas 5.65'!K33</f>
        <v>1906.0746848240242</v>
      </c>
      <c r="E56" s="7">
        <f ca="1">E26*'Entradas 5.65'!L33</f>
        <v>2082.9000670843811</v>
      </c>
      <c r="F56" s="7">
        <f ca="1">F26*'Entradas 5.65'!M33</f>
        <v>2246.7624529248264</v>
      </c>
      <c r="G56" s="7">
        <f ca="1">G26*'Entradas 5.65'!N33</f>
        <v>2407.989804480696</v>
      </c>
      <c r="H56" s="7">
        <f ca="1">H26*'Entradas 5.65'!O33</f>
        <v>2608.7203989633331</v>
      </c>
      <c r="I56" s="7">
        <f ca="1">I26*'Entradas 5.65'!P33</f>
        <v>2793.7750120281307</v>
      </c>
      <c r="J56" s="7">
        <f ca="1">J26*'Entradas 5.65'!Q33</f>
        <v>2914.4730035150301</v>
      </c>
      <c r="K56" s="7">
        <f ca="1">K26*'Entradas 5.65'!R33</f>
        <v>3010.5324299231547</v>
      </c>
      <c r="L56" s="7">
        <f ca="1">L26*'Entradas 5.65'!S33</f>
        <v>3003.5185746731718</v>
      </c>
      <c r="M56" s="7">
        <f ca="1">M26*'Entradas 5.65'!T33</f>
        <v>3097.4685049635937</v>
      </c>
      <c r="N56" s="7">
        <f ca="1">N26*'Entradas 5.65'!U33</f>
        <v>3104.8982590377786</v>
      </c>
      <c r="O56" s="7">
        <f ca="1">O26*'Entradas 5.65'!V33</f>
        <v>3135.7309013246531</v>
      </c>
      <c r="P56" s="7">
        <f ca="1">P26*'Entradas 5.65'!W33</f>
        <v>3199.5748095147337</v>
      </c>
      <c r="Q56" s="7">
        <f ca="1">Q26*'Entradas 5.65'!X33</f>
        <v>3271.219693495289</v>
      </c>
      <c r="R56" s="7">
        <f ca="1">R26*'Entradas 5.65'!Y33</f>
        <v>3368.2621151785447</v>
      </c>
      <c r="S56" s="7">
        <f ca="1">S26*'Entradas 5.65'!Z33</f>
        <v>3360.6076725376161</v>
      </c>
      <c r="T56" s="7">
        <f ca="1">T26*'Entradas 5.65'!AA33</f>
        <v>3413.8277765178291</v>
      </c>
      <c r="U56" s="7">
        <f ca="1">U26*'Entradas 5.65'!AB33</f>
        <v>3550.3801628862575</v>
      </c>
      <c r="V56" s="7">
        <f ca="1">V26*'Entradas 5.65'!AC33</f>
        <v>3584.0716575354836</v>
      </c>
      <c r="W56" s="7">
        <f ca="1">W26*'Entradas 5.65'!AD33</f>
        <v>3628.3017576569723</v>
      </c>
      <c r="X56" s="7">
        <f ca="1">X26*'Entradas 5.65'!AE33</f>
        <v>0</v>
      </c>
      <c r="Y56" s="7"/>
      <c r="Z56" s="35" t="str">
        <f t="shared" ca="1" si="72"/>
        <v>-</v>
      </c>
      <c r="AA56"/>
      <c r="AB56" s="7">
        <v>1560.2441764164778</v>
      </c>
      <c r="AD56" s="15"/>
      <c r="AE56" s="14"/>
    </row>
    <row r="57" spans="1:32" s="6" customFormat="1" x14ac:dyDescent="0.25">
      <c r="A57" s="176"/>
      <c r="B57" s="5" t="s">
        <v>6</v>
      </c>
      <c r="C57" s="7"/>
      <c r="D57" s="7">
        <f ca="1">C11*'Entradas 5.65'!K34</f>
        <v>61.137793852466743</v>
      </c>
      <c r="E57" s="7">
        <f ca="1">D11*'Entradas 5.65'!L34</f>
        <v>61.139323764128065</v>
      </c>
      <c r="F57" s="7">
        <f ca="1">E11*'Entradas 5.65'!M34</f>
        <v>61.139041922200057</v>
      </c>
      <c r="G57" s="7">
        <f ca="1">F11*'Entradas 5.65'!N34</f>
        <v>66.810873432791212</v>
      </c>
      <c r="H57" s="7">
        <f ca="1">G11*'Entradas 5.65'!O34</f>
        <v>72.066905296146899</v>
      </c>
      <c r="I57" s="7">
        <f ca="1">H11*'Entradas 5.65'!P34</f>
        <v>77.238416089644303</v>
      </c>
      <c r="J57" s="7">
        <f ca="1">I11*'Entradas 5.65'!Q34</f>
        <v>83.677028557903967</v>
      </c>
      <c r="K57" s="7">
        <f ca="1">J11*'Entradas 5.65'!R34</f>
        <v>89.612819970562981</v>
      </c>
      <c r="L57" s="7">
        <f ca="1">K11*'Entradas 5.65'!S34</f>
        <v>93.48431546871771</v>
      </c>
      <c r="M57" s="7">
        <f ca="1">L11*'Entradas 5.65'!T34</f>
        <v>96.5655070636478</v>
      </c>
      <c r="N57" s="7">
        <f ca="1">M11*'Entradas 5.65'!U34</f>
        <v>96.340531414173441</v>
      </c>
      <c r="O57" s="7">
        <f ca="1">N11*'Entradas 5.65'!V34</f>
        <v>99.354059043676671</v>
      </c>
      <c r="P57" s="7">
        <f ca="1">O11*'Entradas 5.65'!W34</f>
        <v>99.592375018087282</v>
      </c>
      <c r="Q57" s="7">
        <f ca="1">P11*'Entradas 5.65'!X34</f>
        <v>100.58135946049039</v>
      </c>
      <c r="R57" s="7">
        <f ca="1">Q11*'Entradas 5.65'!Y34</f>
        <v>102.62920963676555</v>
      </c>
      <c r="S57" s="7">
        <f ca="1">R11*'Entradas 5.65'!Z34</f>
        <v>104.92728305438858</v>
      </c>
      <c r="T57" s="7">
        <f ca="1">S11*'Entradas 5.65'!AA34</f>
        <v>108.04000509763434</v>
      </c>
      <c r="U57" s="7">
        <f ca="1">T11*'Entradas 5.65'!AB34</f>
        <v>107.79448203747256</v>
      </c>
      <c r="V57" s="7">
        <f ca="1">U11*'Entradas 5.65'!AC34</f>
        <v>109.50156423853045</v>
      </c>
      <c r="W57" s="7">
        <f ca="1">V11*'Entradas 5.65'!AD34</f>
        <v>113.88160356292167</v>
      </c>
      <c r="X57" s="7">
        <f ca="1">W11*'Entradas 5.65'!AE34</f>
        <v>0</v>
      </c>
      <c r="Y57" s="7"/>
      <c r="Z57" s="35" t="str">
        <f t="shared" ca="1" si="72"/>
        <v>-</v>
      </c>
      <c r="AA57"/>
      <c r="AB57" s="7">
        <v>79.750102399167162</v>
      </c>
      <c r="AD57" s="15"/>
      <c r="AE57" s="14"/>
    </row>
    <row r="58" spans="1:32" s="6" customFormat="1" x14ac:dyDescent="0.25">
      <c r="A58" s="176"/>
      <c r="B58" s="5" t="s">
        <v>5</v>
      </c>
      <c r="C58" s="7"/>
      <c r="D58" s="7">
        <f ca="1">C12*'Entradas 5.65'!K35</f>
        <v>102.73789911633014</v>
      </c>
      <c r="E58" s="7">
        <f ca="1">D12*'Entradas 5.65'!L35</f>
        <v>102.73742551201488</v>
      </c>
      <c r="F58" s="7">
        <f ca="1">E12*'Entradas 5.65'!M35</f>
        <v>112.26831361584811</v>
      </c>
      <c r="G58" s="7">
        <f ca="1">F12*'Entradas 5.65'!N35</f>
        <v>121.10049621264812</v>
      </c>
      <c r="H58" s="7">
        <f ca="1">G12*'Entradas 5.65'!O35</f>
        <v>129.7906504615095</v>
      </c>
      <c r="I58" s="7">
        <f ca="1">H12*'Entradas 5.65'!P35</f>
        <v>140.61002950412364</v>
      </c>
      <c r="J58" s="7">
        <f ca="1">I12*'Entradas 5.65'!Q35</f>
        <v>150.58447314831625</v>
      </c>
      <c r="K58" s="7">
        <f ca="1">J12*'Entradas 5.65'!R35</f>
        <v>157.09009488946012</v>
      </c>
      <c r="L58" s="7">
        <f ca="1">K12*'Entradas 5.65'!S35</f>
        <v>162.267697972858</v>
      </c>
      <c r="M58" s="7">
        <f ca="1">L12*'Entradas 5.65'!T35</f>
        <v>161.88965117488397</v>
      </c>
      <c r="N58" s="7">
        <f ca="1">M12*'Entradas 5.65'!U35</f>
        <v>166.95355241753765</v>
      </c>
      <c r="O58" s="7">
        <f ca="1">N12*'Entradas 5.65'!V35</f>
        <v>167.35401616213625</v>
      </c>
      <c r="P58" s="7">
        <f ca="1">O12*'Entradas 5.65'!W35</f>
        <v>169.01589558139878</v>
      </c>
      <c r="Q58" s="7">
        <f ca="1">P12*'Entradas 5.65'!X35</f>
        <v>172.45708223284413</v>
      </c>
      <c r="R58" s="7">
        <f ca="1">Q12*'Entradas 5.65'!Y35</f>
        <v>176.31874147939607</v>
      </c>
      <c r="S58" s="7">
        <f ca="1">R12*'Entradas 5.65'!Z35</f>
        <v>181.54932800812358</v>
      </c>
      <c r="T58" s="7">
        <f ca="1">S12*'Entradas 5.65'!AA35</f>
        <v>181.13675354977747</v>
      </c>
      <c r="U58" s="7">
        <f ca="1">T12*'Entradas 5.65'!AB35</f>
        <v>184.00531715431097</v>
      </c>
      <c r="V58" s="7">
        <f ca="1">U12*'Entradas 5.65'!AC35</f>
        <v>191.36549077956926</v>
      </c>
      <c r="W58" s="7">
        <f ca="1">V12*'Entradas 5.65'!AD35</f>
        <v>193.18146234116253</v>
      </c>
      <c r="X58" s="7">
        <f ca="1">W12*'Entradas 5.65'!AE35</f>
        <v>0</v>
      </c>
      <c r="Y58" s="7"/>
      <c r="Z58" s="35" t="str">
        <f t="shared" ca="1" si="72"/>
        <v>-</v>
      </c>
      <c r="AA58"/>
      <c r="AB58" s="7">
        <v>107.03275050217039</v>
      </c>
      <c r="AD58" s="15"/>
      <c r="AE58" s="14"/>
    </row>
    <row r="59" spans="1:32" s="6" customFormat="1" ht="15.75" thickBot="1" x14ac:dyDescent="0.3">
      <c r="A59" s="177"/>
      <c r="B59" s="5" t="s">
        <v>1</v>
      </c>
      <c r="C59" s="7"/>
      <c r="D59" s="7">
        <f ca="1">D29*'Entradas 5.65'!K36</f>
        <v>1906.0746848240242</v>
      </c>
      <c r="E59" s="7">
        <f ca="1">E29*'Entradas 5.65'!L36</f>
        <v>2082.9000670843811</v>
      </c>
      <c r="F59" s="7">
        <f ca="1">F29*'Entradas 5.65'!M36</f>
        <v>2246.7624529248264</v>
      </c>
      <c r="G59" s="7">
        <f ca="1">G29*'Entradas 5.65'!N36</f>
        <v>2407.989804480696</v>
      </c>
      <c r="H59" s="7">
        <f ca="1">H29*'Entradas 5.65'!O36</f>
        <v>2608.7203989633331</v>
      </c>
      <c r="I59" s="7">
        <f ca="1">I29*'Entradas 5.65'!P36</f>
        <v>2793.7750120281307</v>
      </c>
      <c r="J59" s="7">
        <f ca="1">J29*'Entradas 5.65'!Q36</f>
        <v>2914.4730035150301</v>
      </c>
      <c r="K59" s="7">
        <f ca="1">K29*'Entradas 5.65'!R36</f>
        <v>3010.5324299231547</v>
      </c>
      <c r="L59" s="7">
        <f ca="1">L29*'Entradas 5.65'!S36</f>
        <v>3003.5185746731718</v>
      </c>
      <c r="M59" s="7">
        <f ca="1">M29*'Entradas 5.65'!T36</f>
        <v>3097.4685049635937</v>
      </c>
      <c r="N59" s="7">
        <f ca="1">N29*'Entradas 5.65'!U36</f>
        <v>3104.8982590377786</v>
      </c>
      <c r="O59" s="7">
        <f ca="1">O29*'Entradas 5.65'!V36</f>
        <v>3135.7309013246531</v>
      </c>
      <c r="P59" s="7">
        <f ca="1">P29*'Entradas 5.65'!W36</f>
        <v>3199.5748095147337</v>
      </c>
      <c r="Q59" s="7">
        <f ca="1">Q29*'Entradas 5.65'!X36</f>
        <v>3271.219693495289</v>
      </c>
      <c r="R59" s="7">
        <f ca="1">R29*'Entradas 5.65'!Y36</f>
        <v>3368.2621151785447</v>
      </c>
      <c r="S59" s="7">
        <f ca="1">S29*'Entradas 5.65'!Z36</f>
        <v>3360.6076725376161</v>
      </c>
      <c r="T59" s="7">
        <f ca="1">T29*'Entradas 5.65'!AA36</f>
        <v>3413.8277765178291</v>
      </c>
      <c r="U59" s="7">
        <f ca="1">U29*'Entradas 5.65'!AB36</f>
        <v>3550.3801628862575</v>
      </c>
      <c r="V59" s="7">
        <f ca="1">V29*'Entradas 5.65'!AC36</f>
        <v>3584.0716575354836</v>
      </c>
      <c r="W59" s="7">
        <f ca="1">W29*'Entradas 5.65'!AD36</f>
        <v>3628.3017576569723</v>
      </c>
      <c r="X59" s="7">
        <f ca="1">X29*'Entradas 5.65'!AE36</f>
        <v>0</v>
      </c>
      <c r="Y59" s="7"/>
      <c r="Z59" s="36" t="str">
        <f t="shared" ca="1" si="72"/>
        <v>-</v>
      </c>
      <c r="AA59"/>
      <c r="AB59" s="7">
        <v>1560.2441764164778</v>
      </c>
      <c r="AD59" s="15"/>
      <c r="AE59" s="14"/>
    </row>
    <row r="60" spans="1:32" s="6" customFormat="1" ht="15.75" thickBot="1" x14ac:dyDescent="0.3">
      <c r="A60" s="10"/>
      <c r="B60" s="72" t="s">
        <v>21</v>
      </c>
      <c r="C60" s="73"/>
      <c r="D60" s="73">
        <f ca="1">SUM(D52:D59)</f>
        <v>7236.6795261645357</v>
      </c>
      <c r="E60" s="73">
        <f t="shared" ref="E60:K60" ca="1" si="73">SUM(E52:E59)</f>
        <v>7821.4657513211387</v>
      </c>
      <c r="F60" s="73">
        <f t="shared" ca="1" si="73"/>
        <v>8423.0610445754501</v>
      </c>
      <c r="G60" s="73">
        <f t="shared" ca="1" si="73"/>
        <v>9064.4938074517977</v>
      </c>
      <c r="H60" s="73">
        <f t="shared" ca="1" si="73"/>
        <v>9795.6289226447225</v>
      </c>
      <c r="I60" s="73">
        <f t="shared" ca="1" si="73"/>
        <v>10506.208595906633</v>
      </c>
      <c r="J60" s="73">
        <f t="shared" ca="1" si="73"/>
        <v>10999.791318054567</v>
      </c>
      <c r="K60" s="73">
        <f t="shared" ca="1" si="73"/>
        <v>11384.893909431075</v>
      </c>
      <c r="L60" s="73">
        <f t="shared" ref="L60:M60" ca="1" si="74">SUM(L52:L59)</f>
        <v>11402.985507420186</v>
      </c>
      <c r="M60" s="73">
        <f t="shared" ca="1" si="74"/>
        <v>11726.123553253283</v>
      </c>
      <c r="N60" s="73">
        <f t="shared" ref="N60:X60" ca="1" si="75">SUM(N52:N59)</f>
        <v>11765.272116770026</v>
      </c>
      <c r="O60" s="73">
        <f t="shared" ca="1" si="75"/>
        <v>11905.546899698358</v>
      </c>
      <c r="P60" s="73">
        <f t="shared" ca="1" si="75"/>
        <v>12105.661060037375</v>
      </c>
      <c r="Q60" s="73">
        <f t="shared" ca="1" si="75"/>
        <v>12383.429688348628</v>
      </c>
      <c r="R60" s="73">
        <f t="shared" ca="1" si="75"/>
        <v>12734.52179100457</v>
      </c>
      <c r="S60" s="73">
        <f t="shared" ca="1" si="75"/>
        <v>12758.015536446772</v>
      </c>
      <c r="T60" s="73">
        <f t="shared" ca="1" si="75"/>
        <v>12946.386321220572</v>
      </c>
      <c r="U60" s="73">
        <f t="shared" ca="1" si="75"/>
        <v>13400.412620547111</v>
      </c>
      <c r="V60" s="73">
        <f t="shared" ca="1" si="75"/>
        <v>13580.042511513802</v>
      </c>
      <c r="W60" s="73">
        <f t="shared" ca="1" si="75"/>
        <v>13764.404393563997</v>
      </c>
      <c r="X60" s="73">
        <f t="shared" ca="1" si="75"/>
        <v>0</v>
      </c>
      <c r="Y60" s="7"/>
      <c r="AA60"/>
      <c r="AB60" s="73">
        <v>6904.1458814859343</v>
      </c>
      <c r="AE60" s="15"/>
      <c r="AF60" s="14"/>
    </row>
    <row r="61" spans="1:32" s="6" customFormat="1" x14ac:dyDescent="0.25">
      <c r="A61" s="10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Z61" s="7"/>
      <c r="AA61"/>
      <c r="AD61" s="15"/>
      <c r="AE61" s="14"/>
    </row>
    <row r="62" spans="1:32" s="6" customFormat="1" x14ac:dyDescent="0.25">
      <c r="A62" s="10"/>
      <c r="B62" s="37" t="s">
        <v>33</v>
      </c>
      <c r="C62" s="38"/>
      <c r="D62" s="38" t="str">
        <f t="shared" ref="D62" ca="1" si="76">IF(MIN(D15:D59)&lt;0,COLUMN(D15),"-")</f>
        <v>-</v>
      </c>
      <c r="E62" s="38" t="str">
        <f t="shared" ref="E62:X62" ca="1" si="77">IF(MIN(E15:E59)&lt;0,COLUMN(E15),"-")</f>
        <v>-</v>
      </c>
      <c r="F62" s="38" t="str">
        <f t="shared" ca="1" si="77"/>
        <v>-</v>
      </c>
      <c r="G62" s="38" t="str">
        <f t="shared" ca="1" si="77"/>
        <v>-</v>
      </c>
      <c r="H62" s="38" t="str">
        <f t="shared" ca="1" si="77"/>
        <v>-</v>
      </c>
      <c r="I62" s="38" t="str">
        <f t="shared" ca="1" si="77"/>
        <v>-</v>
      </c>
      <c r="J62" s="38" t="str">
        <f t="shared" ca="1" si="77"/>
        <v>-</v>
      </c>
      <c r="K62" s="38" t="str">
        <f t="shared" ca="1" si="77"/>
        <v>-</v>
      </c>
      <c r="L62" s="38" t="str">
        <f t="shared" ca="1" si="77"/>
        <v>-</v>
      </c>
      <c r="M62" s="38" t="str">
        <f t="shared" ca="1" si="77"/>
        <v>-</v>
      </c>
      <c r="N62" s="38" t="str">
        <f t="shared" ca="1" si="77"/>
        <v>-</v>
      </c>
      <c r="O62" s="38" t="str">
        <f t="shared" ca="1" si="77"/>
        <v>-</v>
      </c>
      <c r="P62" s="38" t="str">
        <f t="shared" ca="1" si="77"/>
        <v>-</v>
      </c>
      <c r="Q62" s="38" t="str">
        <f t="shared" ca="1" si="77"/>
        <v>-</v>
      </c>
      <c r="R62" s="38" t="str">
        <f t="shared" ca="1" si="77"/>
        <v>-</v>
      </c>
      <c r="S62" s="38" t="str">
        <f t="shared" ca="1" si="77"/>
        <v>-</v>
      </c>
      <c r="T62" s="38" t="str">
        <f t="shared" ca="1" si="77"/>
        <v>-</v>
      </c>
      <c r="U62" s="38" t="str">
        <f t="shared" ca="1" si="77"/>
        <v>-</v>
      </c>
      <c r="V62" s="38" t="str">
        <f t="shared" ca="1" si="77"/>
        <v>-</v>
      </c>
      <c r="W62" s="38" t="str">
        <f t="shared" ca="1" si="77"/>
        <v>-</v>
      </c>
      <c r="X62" s="38" t="e">
        <f t="shared" ca="1" si="77"/>
        <v>#VALUE!</v>
      </c>
      <c r="Z62" s="7"/>
      <c r="AA62"/>
      <c r="AB62" s="38"/>
      <c r="AD62" s="15"/>
      <c r="AE62" s="14"/>
    </row>
    <row r="63" spans="1:32" s="6" customFormat="1" x14ac:dyDescent="0.25">
      <c r="A63" s="10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Z63" s="7"/>
      <c r="AA63"/>
      <c r="AD63" s="15"/>
      <c r="AE63" s="14"/>
    </row>
    <row r="64" spans="1:32" ht="30" x14ac:dyDescent="0.25">
      <c r="B64" s="9" t="s">
        <v>34</v>
      </c>
      <c r="D64" s="39">
        <f t="shared" ref="D64" ca="1" si="78">SUM(D40,D50)*100/SUM(D5:D12)</f>
        <v>36.857874853664789</v>
      </c>
      <c r="E64" s="39">
        <f t="shared" ref="E64:X64" ca="1" si="79">SUM(E40,E50)*100/SUM(E5:E12)</f>
        <v>36.213809745461866</v>
      </c>
      <c r="F64" s="39">
        <f t="shared" ca="1" si="79"/>
        <v>35.239934607029674</v>
      </c>
      <c r="G64" s="39">
        <f t="shared" ca="1" si="79"/>
        <v>35.414670736264029</v>
      </c>
      <c r="H64" s="39">
        <f t="shared" ca="1" si="79"/>
        <v>35.71685215148316</v>
      </c>
      <c r="I64" s="39">
        <f t="shared" ca="1" si="79"/>
        <v>38.137238104329377</v>
      </c>
      <c r="J64" s="39">
        <f t="shared" ca="1" si="79"/>
        <v>39.492380313911006</v>
      </c>
      <c r="K64" s="39">
        <f t="shared" ca="1" si="79"/>
        <v>43.038128972641914</v>
      </c>
      <c r="L64" s="39">
        <f t="shared" ca="1" si="79"/>
        <v>40.992122799448289</v>
      </c>
      <c r="M64" s="39">
        <f t="shared" ca="1" si="79"/>
        <v>43.515491787936199</v>
      </c>
      <c r="N64" s="39">
        <f t="shared" ca="1" si="79"/>
        <v>42.324994737212712</v>
      </c>
      <c r="O64" s="39">
        <f t="shared" ca="1" si="79"/>
        <v>42.570146058617752</v>
      </c>
      <c r="P64" s="39">
        <f t="shared" ca="1" si="79"/>
        <v>41.358296249586211</v>
      </c>
      <c r="Q64" s="39">
        <f t="shared" ca="1" si="79"/>
        <v>41.073076238304182</v>
      </c>
      <c r="R64" s="39">
        <f t="shared" ca="1" si="79"/>
        <v>43.155068841018021</v>
      </c>
      <c r="S64" s="39">
        <f t="shared" ca="1" si="79"/>
        <v>42.366166017861651</v>
      </c>
      <c r="T64" s="39">
        <f t="shared" ca="1" si="79"/>
        <v>40.718278436928117</v>
      </c>
      <c r="U64" s="39">
        <f t="shared" ca="1" si="79"/>
        <v>42.063777481524419</v>
      </c>
      <c r="V64" s="39">
        <f t="shared" ca="1" si="79"/>
        <v>42.209911697396635</v>
      </c>
      <c r="W64" s="39">
        <f t="shared" ca="1" si="79"/>
        <v>42.956966679061708</v>
      </c>
      <c r="X64" s="39" t="e">
        <f t="shared" ca="1" si="79"/>
        <v>#VALUE!</v>
      </c>
      <c r="Y64" s="39"/>
      <c r="AB64" s="39">
        <v>31.861499647468008</v>
      </c>
    </row>
    <row r="65" spans="1:35" x14ac:dyDescent="0.25"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</row>
    <row r="66" spans="1:35" x14ac:dyDescent="0.25">
      <c r="B66" t="s">
        <v>77</v>
      </c>
      <c r="C66" s="7">
        <f>C5</f>
        <v>76451.677355428925</v>
      </c>
      <c r="D66" s="7">
        <f>C66*(1+'Entradas 5.65'!J26)</f>
        <v>84676.679708957876</v>
      </c>
      <c r="E66" s="7">
        <f>D66*(1+'Entradas 5.65'!K26)</f>
        <v>92297.370100065207</v>
      </c>
      <c r="F66" s="7">
        <f>E66*(1+'Entradas 5.65'!L26)</f>
        <v>99702.616535883397</v>
      </c>
      <c r="G66" s="7">
        <f>F66*(1+'Entradas 5.65'!M26)</f>
        <v>107249.79265716326</v>
      </c>
      <c r="H66" s="7">
        <f>G66*(1+'Entradas 5.65'!N26)</f>
        <v>115323.11571752014</v>
      </c>
      <c r="I66" s="7">
        <f>H66*(1+'Entradas 5.65'!O26)</f>
        <v>119526.73058324039</v>
      </c>
      <c r="J66" s="7">
        <f>I66*(1+'Entradas 5.65'!P26)</f>
        <v>122826.28796874077</v>
      </c>
      <c r="K66" s="7">
        <f>J66*(1+'Entradas 5.65'!Q26)</f>
        <v>121327.68110832747</v>
      </c>
      <c r="L66" s="7">
        <f>K66*(1+'Entradas 5.65'!R26)</f>
        <v>125196.74543735709</v>
      </c>
      <c r="M66" s="7">
        <f>L66*(1+'Entradas 5.65'!S26)</f>
        <v>124892.87473224329</v>
      </c>
      <c r="N66" s="7">
        <f>M66*(1+'Entradas 5.65'!T26)</f>
        <v>126770.24881249579</v>
      </c>
      <c r="O66" s="7">
        <f>N66*(1+'Entradas 5.65'!U26)</f>
        <v>128487.31580809676</v>
      </c>
      <c r="P66" s="7">
        <f>O66*(1+'Entradas 5.65'!V26)</f>
        <v>132577.56294757972</v>
      </c>
      <c r="Q66" s="7">
        <f>P66*(1+'Entradas 5.65'!W26)</f>
        <v>136207.18039817322</v>
      </c>
      <c r="R66" s="7">
        <f>Q66*(1+'Entradas 5.65'!X26)</f>
        <v>135792.98193237919</v>
      </c>
      <c r="S66" s="7">
        <f>R66*(1+'Entradas 5.65'!Y26)</f>
        <v>137509.63382600213</v>
      </c>
      <c r="T66" s="7">
        <f>S66*(1+'Entradas 5.65'!Z26)</f>
        <v>143406.07783844124</v>
      </c>
      <c r="U66" s="7">
        <f>T66*(1+'Entradas 5.65'!AA26)</f>
        <v>145301.16977463692</v>
      </c>
      <c r="V66" s="7">
        <f>U66*(1+'Entradas 5.65'!AB26)</f>
        <v>146528.37665331905</v>
      </c>
      <c r="W66" s="7">
        <f>V66*(1+'Entradas 5.65'!AC26)</f>
        <v>147466.61877995991</v>
      </c>
      <c r="X66" s="7" t="e">
        <f>W66*(1+'Entradas 5.65'!AD26)</f>
        <v>#VALUE!</v>
      </c>
      <c r="Y66" s="7"/>
      <c r="Z66" s="7"/>
      <c r="AB66" s="7">
        <v>79792.821709950367</v>
      </c>
    </row>
    <row r="67" spans="1:35" s="7" customFormat="1" x14ac:dyDescent="0.25">
      <c r="B67" s="15" t="s">
        <v>76</v>
      </c>
      <c r="C67" s="7">
        <v>20000</v>
      </c>
      <c r="D67" s="7">
        <f>D66*'Entradas 5.65'!J48</f>
        <v>16935.335941791574</v>
      </c>
      <c r="E67" s="7">
        <f>E66*'Entradas 5.65'!K48</f>
        <v>18459.474020013044</v>
      </c>
      <c r="F67" s="7">
        <f>F66*'Entradas 5.65'!L48</f>
        <v>19940.523307176682</v>
      </c>
      <c r="G67" s="7">
        <f>G66*'Entradas 5.65'!M48</f>
        <v>21449.958531432654</v>
      </c>
      <c r="H67" s="7">
        <f>H66*'Entradas 5.65'!N48</f>
        <v>23064.623143504028</v>
      </c>
      <c r="I67" s="7">
        <f>I66*'Entradas 5.65'!O48</f>
        <v>23905.346116648081</v>
      </c>
      <c r="J67" s="7">
        <f>J66*'Entradas 5.65'!P48</f>
        <v>24565.257593748156</v>
      </c>
      <c r="K67" s="7">
        <f>K66*'Entradas 5.65'!Q48</f>
        <v>24265.536221665494</v>
      </c>
      <c r="L67" s="7">
        <f>L66*'Entradas 5.65'!R48</f>
        <v>25039.349087471419</v>
      </c>
      <c r="M67" s="7">
        <f>M66*'Entradas 5.65'!S48</f>
        <v>24978.574946448658</v>
      </c>
      <c r="N67" s="7">
        <f>N66*'Entradas 5.65'!T48</f>
        <v>25354.049762499159</v>
      </c>
      <c r="O67" s="7">
        <f>O66*'Entradas 5.65'!U48</f>
        <v>25697.463161619351</v>
      </c>
      <c r="P67" s="7">
        <f>P66*'Entradas 5.65'!V48</f>
        <v>26515.512589515944</v>
      </c>
      <c r="Q67" s="7">
        <f>Q66*'Entradas 5.65'!W48</f>
        <v>27241.436079634645</v>
      </c>
      <c r="R67" s="7">
        <f>R66*'Entradas 5.65'!X48</f>
        <v>27158.596386475838</v>
      </c>
      <c r="S67" s="7">
        <f>S66*'Entradas 5.65'!Y48</f>
        <v>27501.926765200427</v>
      </c>
      <c r="T67" s="7">
        <f>T66*'Entradas 5.65'!Z48</f>
        <v>28681.21556768825</v>
      </c>
      <c r="U67" s="7">
        <f>U66*'Entradas 5.65'!AA48</f>
        <v>29060.233954927386</v>
      </c>
      <c r="V67" s="7">
        <f>V66*'Entradas 5.65'!AB48</f>
        <v>29305.675330663813</v>
      </c>
      <c r="W67" s="7">
        <f>W66*'Entradas 5.65'!AC48</f>
        <v>29493.323755991983</v>
      </c>
      <c r="X67" s="7" t="e">
        <f>X66*'Entradas 5.65'!AD48</f>
        <v>#VALUE!</v>
      </c>
      <c r="AA67"/>
      <c r="AB67" s="7">
        <v>15958.564341990073</v>
      </c>
    </row>
    <row r="68" spans="1:35" s="7" customFormat="1" x14ac:dyDescent="0.25">
      <c r="B68" s="15"/>
      <c r="AA68"/>
    </row>
    <row r="69" spans="1:35" x14ac:dyDescent="0.25">
      <c r="B69" t="s">
        <v>135</v>
      </c>
      <c r="D69" s="7">
        <f ca="1">D32+D33</f>
        <v>263.83625916225236</v>
      </c>
      <c r="E69" s="7">
        <f t="shared" ref="E69:M69" ca="1" si="80">E32+E33</f>
        <v>636.50327968560191</v>
      </c>
      <c r="F69" s="7">
        <f t="shared" ca="1" si="80"/>
        <v>638.46639864202916</v>
      </c>
      <c r="G69" s="7">
        <f t="shared" ca="1" si="80"/>
        <v>369.09345601391533</v>
      </c>
      <c r="H69" s="7">
        <f t="shared" ca="1" si="80"/>
        <v>1121.9194278845814</v>
      </c>
      <c r="I69" s="7">
        <f t="shared" ca="1" si="80"/>
        <v>5295.093660793138</v>
      </c>
      <c r="J69" s="7">
        <f t="shared" ca="1" si="80"/>
        <v>7261.9646429383984</v>
      </c>
      <c r="K69" s="7">
        <f t="shared" ca="1" si="80"/>
        <v>13005.427408475742</v>
      </c>
      <c r="L69" s="7">
        <f t="shared" ca="1" si="80"/>
        <v>8696.5723123050011</v>
      </c>
      <c r="M69" s="7">
        <f t="shared" ca="1" si="80"/>
        <v>13225.095977078283</v>
      </c>
    </row>
    <row r="70" spans="1:35" x14ac:dyDescent="0.25">
      <c r="B70" t="s">
        <v>136</v>
      </c>
      <c r="D70" s="7">
        <f ca="1">D34+D35+D37+D38</f>
        <v>30782.255177728744</v>
      </c>
      <c r="E70" s="7">
        <f t="shared" ref="E70:M70" ca="1" si="81">E34+E35+E37+E38</f>
        <v>30783.160307905746</v>
      </c>
      <c r="F70" s="7">
        <f t="shared" ca="1" si="81"/>
        <v>31523.07359092425</v>
      </c>
      <c r="G70" s="7">
        <f t="shared" ca="1" si="81"/>
        <v>34765.481528382064</v>
      </c>
      <c r="H70" s="7">
        <f t="shared" ca="1" si="81"/>
        <v>37089.675477067118</v>
      </c>
      <c r="I70" s="7">
        <f t="shared" ca="1" si="81"/>
        <v>40067.511124581804</v>
      </c>
      <c r="J70" s="7">
        <f t="shared" ca="1" si="81"/>
        <v>43192.717092368868</v>
      </c>
      <c r="K70" s="7">
        <f t="shared" ca="1" si="81"/>
        <v>45917.925208570319</v>
      </c>
      <c r="L70" s="7">
        <f t="shared" ca="1" si="81"/>
        <v>47594.541096790606</v>
      </c>
      <c r="M70" s="7">
        <f t="shared" ca="1" si="81"/>
        <v>48761.5600921441</v>
      </c>
    </row>
    <row r="75" spans="1:35" s="8" customFormat="1" x14ac:dyDescent="0.25">
      <c r="A75" s="9"/>
      <c r="B75"/>
      <c r="C75" s="7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AA75"/>
      <c r="AB75"/>
      <c r="AC75"/>
      <c r="AD75" s="13"/>
      <c r="AE75" s="16"/>
      <c r="AF75"/>
      <c r="AG75"/>
      <c r="AH75"/>
      <c r="AI75"/>
    </row>
  </sheetData>
  <mergeCells count="6">
    <mergeCell ref="A52:A59"/>
    <mergeCell ref="A5:A12"/>
    <mergeCell ref="A15:A19"/>
    <mergeCell ref="A22:A29"/>
    <mergeCell ref="A32:A39"/>
    <mergeCell ref="A42:A49"/>
  </mergeCells>
  <conditionalFormatting sqref="Y22:Y29 Y31:Y39 Y41:Y49 Y51:Y59 A67:B68 AC67:XFD68 Y67:Z68">
    <cfRule type="expression" dxfId="28" priority="29">
      <formula>A22&lt;0</formula>
    </cfRule>
  </conditionalFormatting>
  <conditionalFormatting sqref="Y30">
    <cfRule type="expression" dxfId="27" priority="27">
      <formula>Y30&lt;0</formula>
    </cfRule>
  </conditionalFormatting>
  <conditionalFormatting sqref="Y40">
    <cfRule type="expression" dxfId="26" priority="26">
      <formula>Y40&lt;0</formula>
    </cfRule>
  </conditionalFormatting>
  <conditionalFormatting sqref="Y50">
    <cfRule type="expression" dxfId="25" priority="25">
      <formula>Y50&lt;0</formula>
    </cfRule>
  </conditionalFormatting>
  <conditionalFormatting sqref="Y60">
    <cfRule type="expression" dxfId="24" priority="24">
      <formula>Y60&lt;0</formula>
    </cfRule>
  </conditionalFormatting>
  <conditionalFormatting sqref="AB22:AB25 AB41 AB46:AB49 AB31 AB51">
    <cfRule type="expression" dxfId="23" priority="14">
      <formula>AB22&lt;0</formula>
    </cfRule>
  </conditionalFormatting>
  <conditionalFormatting sqref="C32 C22:X29 C31:X31 C51:X59 C41:X49 C33:X39 C67:X68">
    <cfRule type="expression" dxfId="22" priority="8">
      <formula>C22&lt;0</formula>
    </cfRule>
  </conditionalFormatting>
  <conditionalFormatting sqref="AB26:AB29 AB52:AB59 AB33:AB39 AB67:AB68 AB42:AB45">
    <cfRule type="expression" dxfId="21" priority="15">
      <formula>AB26&lt;0</formula>
    </cfRule>
  </conditionalFormatting>
  <conditionalFormatting sqref="AB32">
    <cfRule type="expression" dxfId="20" priority="13">
      <formula>AB32&lt;0</formula>
    </cfRule>
  </conditionalFormatting>
  <conditionalFormatting sqref="D32:X32">
    <cfRule type="expression" dxfId="19" priority="5">
      <formula>D32&lt;0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1"/>
  <sheetViews>
    <sheetView tabSelected="1" zoomScaleNormal="100" workbookViewId="0">
      <pane xSplit="1" ySplit="1" topLeftCell="B20" activePane="bottomRight" state="frozen"/>
      <selection pane="topRight" activeCell="B1" sqref="B1"/>
      <selection pane="bottomLeft" activeCell="A2" sqref="A2"/>
      <selection pane="bottomRight" activeCell="G33" sqref="G33"/>
    </sheetView>
  </sheetViews>
  <sheetFormatPr baseColWidth="10" defaultRowHeight="15" x14ac:dyDescent="0.25"/>
  <cols>
    <col min="1" max="1" width="24.42578125" customWidth="1"/>
    <col min="2" max="2" width="12.140625" customWidth="1"/>
    <col min="7" max="7" width="17.42578125" customWidth="1"/>
    <col min="9" max="9" width="9.7109375" customWidth="1"/>
    <col min="10" max="10" width="10.7109375" customWidth="1"/>
    <col min="11" max="12" width="9.7109375" customWidth="1"/>
    <col min="13" max="14" width="9.42578125" bestFit="1" customWidth="1"/>
    <col min="15" max="28" width="9.7109375" customWidth="1"/>
  </cols>
  <sheetData>
    <row r="1" spans="1:33" ht="50.85" customHeight="1" thickBot="1" x14ac:dyDescent="0.3">
      <c r="A1" s="4" t="s">
        <v>3</v>
      </c>
      <c r="B1" s="27" t="s">
        <v>35</v>
      </c>
      <c r="C1" s="27"/>
      <c r="D1" s="27" t="s">
        <v>90</v>
      </c>
      <c r="F1" s="27" t="s">
        <v>89</v>
      </c>
      <c r="G1" s="76" t="s">
        <v>68</v>
      </c>
      <c r="I1" s="43" t="s">
        <v>36</v>
      </c>
      <c r="J1" s="27" t="s">
        <v>37</v>
      </c>
      <c r="K1" s="27" t="s">
        <v>38</v>
      </c>
      <c r="L1" s="27" t="s">
        <v>39</v>
      </c>
      <c r="M1" s="27" t="s">
        <v>40</v>
      </c>
      <c r="N1" s="27" t="s">
        <v>41</v>
      </c>
      <c r="O1" s="27" t="s">
        <v>42</v>
      </c>
      <c r="P1" s="27" t="s">
        <v>43</v>
      </c>
      <c r="Q1" s="27" t="s">
        <v>44</v>
      </c>
      <c r="R1" s="27" t="s">
        <v>45</v>
      </c>
      <c r="S1" s="27" t="s">
        <v>46</v>
      </c>
      <c r="T1" s="27" t="s">
        <v>56</v>
      </c>
      <c r="U1" s="27" t="s">
        <v>57</v>
      </c>
      <c r="V1" s="27" t="s">
        <v>58</v>
      </c>
      <c r="W1" s="27" t="s">
        <v>59</v>
      </c>
      <c r="X1" s="27" t="s">
        <v>60</v>
      </c>
      <c r="Y1" s="27" t="s">
        <v>61</v>
      </c>
      <c r="Z1" s="27" t="s">
        <v>62</v>
      </c>
      <c r="AA1" s="27" t="s">
        <v>63</v>
      </c>
      <c r="AB1" s="27" t="s">
        <v>64</v>
      </c>
      <c r="AC1" s="27" t="s">
        <v>65</v>
      </c>
      <c r="AD1" s="27" t="s">
        <v>96</v>
      </c>
    </row>
    <row r="3" spans="1:33" ht="15" customHeight="1" thickBot="1" x14ac:dyDescent="0.35">
      <c r="A3" s="42" t="s">
        <v>9</v>
      </c>
    </row>
    <row r="4" spans="1:33" x14ac:dyDescent="0.25">
      <c r="A4" s="2" t="s">
        <v>0</v>
      </c>
      <c r="C4" s="5"/>
      <c r="D4" s="78">
        <f>F4</f>
        <v>76451.677355428925</v>
      </c>
      <c r="F4" s="87">
        <v>76451.677355428925</v>
      </c>
      <c r="G4" s="7">
        <v>82035</v>
      </c>
      <c r="I4" s="28">
        <f t="shared" ref="I4:I11" si="0">D4</f>
        <v>76451.677355428925</v>
      </c>
      <c r="N4" s="2"/>
      <c r="O4" s="2"/>
    </row>
    <row r="5" spans="1:33" x14ac:dyDescent="0.25">
      <c r="A5" s="2" t="s">
        <v>12</v>
      </c>
      <c r="C5" s="5"/>
      <c r="D5" s="79">
        <f t="shared" ref="D5:D11" si="1">F5</f>
        <v>2111.6919277867255</v>
      </c>
      <c r="F5" s="88">
        <v>2111.6919277867255</v>
      </c>
      <c r="G5" s="7"/>
      <c r="I5" s="29">
        <f t="shared" si="0"/>
        <v>2111.6919277867255</v>
      </c>
      <c r="N5" s="2"/>
      <c r="O5" s="2"/>
    </row>
    <row r="6" spans="1:33" x14ac:dyDescent="0.25">
      <c r="A6" s="2" t="s">
        <v>4</v>
      </c>
      <c r="C6" s="5"/>
      <c r="D6" s="79">
        <f t="shared" si="1"/>
        <v>10386.971373204462</v>
      </c>
      <c r="F6" s="88">
        <v>10386.971373204462</v>
      </c>
      <c r="G6" s="7">
        <f>30454/2</f>
        <v>15227</v>
      </c>
      <c r="I6" s="29">
        <f t="shared" si="0"/>
        <v>10386.971373204462</v>
      </c>
      <c r="N6" s="2"/>
      <c r="O6" s="2"/>
    </row>
    <row r="7" spans="1:33" x14ac:dyDescent="0.25">
      <c r="A7" s="2" t="s">
        <v>73</v>
      </c>
      <c r="C7" s="5"/>
      <c r="D7" s="79">
        <f t="shared" si="1"/>
        <v>12556.862989329104</v>
      </c>
      <c r="F7" s="88">
        <v>12556.862989329104</v>
      </c>
      <c r="G7" s="7">
        <f>30454/2</f>
        <v>15227</v>
      </c>
      <c r="I7" s="29">
        <f t="shared" si="0"/>
        <v>12556.862989329104</v>
      </c>
      <c r="N7" s="2"/>
      <c r="O7" s="2"/>
    </row>
    <row r="8" spans="1:33" x14ac:dyDescent="0.25">
      <c r="A8" s="5" t="s">
        <v>2</v>
      </c>
      <c r="C8" s="5"/>
      <c r="D8" s="79">
        <f t="shared" si="1"/>
        <v>21729.351575624558</v>
      </c>
      <c r="F8" s="88">
        <v>21729.351575624558</v>
      </c>
      <c r="G8" s="8">
        <v>0</v>
      </c>
      <c r="I8" s="29">
        <f t="shared" si="0"/>
        <v>21729.351575624558</v>
      </c>
      <c r="N8" s="5"/>
      <c r="O8" s="5"/>
    </row>
    <row r="9" spans="1:33" x14ac:dyDescent="0.25">
      <c r="A9" s="5" t="s">
        <v>6</v>
      </c>
      <c r="C9" s="5"/>
      <c r="D9" s="79">
        <f t="shared" si="1"/>
        <v>-8.0291329140891321E-13</v>
      </c>
      <c r="F9" s="88">
        <v>-8.0291329140891321E-13</v>
      </c>
      <c r="G9" s="7"/>
      <c r="I9" s="29">
        <f t="shared" si="0"/>
        <v>-8.0291329140891321E-13</v>
      </c>
      <c r="N9" s="5"/>
      <c r="O9" s="5"/>
    </row>
    <row r="10" spans="1:33" x14ac:dyDescent="0.25">
      <c r="A10" s="5" t="s">
        <v>5</v>
      </c>
      <c r="C10" s="5"/>
      <c r="D10" s="79">
        <f t="shared" si="1"/>
        <v>12477.100786217703</v>
      </c>
      <c r="F10" s="88">
        <v>12477.100786217703</v>
      </c>
      <c r="G10" s="7">
        <v>21254</v>
      </c>
      <c r="I10" s="29">
        <f t="shared" si="0"/>
        <v>12477.100786217703</v>
      </c>
      <c r="N10" s="5"/>
      <c r="O10" s="5"/>
    </row>
    <row r="11" spans="1:33" x14ac:dyDescent="0.25">
      <c r="A11" s="5" t="s">
        <v>1</v>
      </c>
      <c r="C11" s="5"/>
      <c r="D11" s="79">
        <f t="shared" si="1"/>
        <v>20966.918187006151</v>
      </c>
      <c r="F11" s="88">
        <v>20966.918187006151</v>
      </c>
      <c r="G11" s="8">
        <v>0</v>
      </c>
      <c r="I11" s="30">
        <f t="shared" si="0"/>
        <v>20966.918187006151</v>
      </c>
      <c r="N11" s="5"/>
      <c r="O11" s="5"/>
    </row>
    <row r="12" spans="1:33" x14ac:dyDescent="0.25">
      <c r="D12" s="80"/>
      <c r="E12" s="8"/>
      <c r="F12" s="89"/>
      <c r="Q12" s="11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ht="18.75" x14ac:dyDescent="0.3">
      <c r="A13" s="42" t="s">
        <v>14</v>
      </c>
      <c r="D13" s="80"/>
      <c r="F13" s="89"/>
      <c r="G13" t="s">
        <v>70</v>
      </c>
    </row>
    <row r="14" spans="1:33" x14ac:dyDescent="0.25">
      <c r="A14" s="2" t="s">
        <v>0</v>
      </c>
      <c r="B14" s="55" t="e">
        <f ca="1">_xll.RiskTriang(C14,D14,#REF!,_xll.RiskStatic(D14))</f>
        <v>#NAME?</v>
      </c>
      <c r="C14" s="59"/>
      <c r="D14" s="81">
        <f>F14</f>
        <v>1</v>
      </c>
      <c r="F14" s="90">
        <v>1</v>
      </c>
      <c r="J14" s="31">
        <f ca="1">IF(ISERR($B14),$D14,_xll.RiskTriang($C14,$D14,#REF!,_xll.RiskStatic($D14)))</f>
        <v>1</v>
      </c>
      <c r="K14" s="40">
        <f ca="1">IF(ISERR($B14),$D14,_xll.RiskTriang($C14,$D14,#REF!,_xll.RiskStatic($D14)))</f>
        <v>1</v>
      </c>
      <c r="L14" s="40">
        <f ca="1">IF(ISERR($B14),$D14,_xll.RiskTriang($C14,$D14,#REF!,_xll.RiskStatic($D14)))</f>
        <v>1</v>
      </c>
      <c r="M14" s="40">
        <f ca="1">IF(ISERR($B14),$D14,_xll.RiskTriang($C14,$D14,#REF!,_xll.RiskStatic($D14)))</f>
        <v>1</v>
      </c>
      <c r="N14" s="40">
        <f ca="1">IF(ISERR($B14),$D14,_xll.RiskTriang($C14,$D14,#REF!,_xll.RiskStatic($D14)))</f>
        <v>1</v>
      </c>
      <c r="O14" s="40">
        <f ca="1">IF(ISERR($B14),$D14,_xll.RiskTriang($C14,$D14,#REF!,_xll.RiskStatic($D14)))</f>
        <v>1</v>
      </c>
      <c r="P14" s="40">
        <f ca="1">IF(ISERR($B14),$D14,_xll.RiskTriang($C14,$D14,#REF!,_xll.RiskStatic($D14)))</f>
        <v>1</v>
      </c>
      <c r="Q14" s="40">
        <f ca="1">IF(ISERR($B14),$D14,_xll.RiskTriang($C14,$D14,#REF!,_xll.RiskStatic($D14)))</f>
        <v>1</v>
      </c>
      <c r="R14" s="40">
        <f ca="1">IF(ISERR($B14),$D14,_xll.RiskTriang($C14,$D14,#REF!,_xll.RiskStatic($D14)))</f>
        <v>1</v>
      </c>
      <c r="S14" s="40">
        <f ca="1">IF(ISERR($B14),$D14,_xll.RiskTriang($C14,$D14,#REF!,_xll.RiskStatic($D14)))</f>
        <v>1</v>
      </c>
      <c r="T14" s="40">
        <f ca="1">IF(ISERR($B14),$D14,_xll.RiskTriang($C14,$D14,#REF!,_xll.RiskStatic($D14)))</f>
        <v>1</v>
      </c>
      <c r="U14" s="40">
        <f ca="1">IF(ISERR($B14),$D14,_xll.RiskTriang($C14,$D14,#REF!,_xll.RiskStatic($D14)))</f>
        <v>1</v>
      </c>
      <c r="V14" s="40">
        <f ca="1">IF(ISERR($B14),$D14,_xll.RiskTriang($C14,$D14,#REF!,_xll.RiskStatic($D14)))</f>
        <v>1</v>
      </c>
      <c r="W14" s="40">
        <f ca="1">IF(ISERR($B14),$D14,_xll.RiskTriang($C14,$D14,#REF!,_xll.RiskStatic($D14)))</f>
        <v>1</v>
      </c>
      <c r="X14" s="40">
        <f ca="1">IF(ISERR($B14),$D14,_xll.RiskTriang($C14,$D14,#REF!,_xll.RiskStatic($D14)))</f>
        <v>1</v>
      </c>
      <c r="Y14" s="40">
        <f ca="1">IF(ISERR($B14),$D14,_xll.RiskTriang($C14,$D14,#REF!,_xll.RiskStatic($D14)))</f>
        <v>1</v>
      </c>
      <c r="Z14" s="40">
        <f ca="1">IF(ISERR($B14),$D14,_xll.RiskTriang($C14,$D14,#REF!,_xll.RiskStatic($D14)))</f>
        <v>1</v>
      </c>
      <c r="AA14" s="40">
        <f ca="1">IF(ISERR($B14),$D14,_xll.RiskTriang($C14,$D14,#REF!,_xll.RiskStatic($D14)))</f>
        <v>1</v>
      </c>
      <c r="AB14" s="40">
        <f ca="1">IF(ISERR($B14),$D14,_xll.RiskTriang($C14,$D14,#REF!,_xll.RiskStatic($D14)))</f>
        <v>1</v>
      </c>
      <c r="AC14" s="40">
        <f ca="1">IF(ISERR($B14),$D14,_xll.RiskTriang($C14,$D14,#REF!,_xll.RiskStatic($D14)))</f>
        <v>1</v>
      </c>
      <c r="AD14" s="40">
        <f ca="1">IF(ISERR($B14),$D14,_xll.RiskTriang($C14,$D14,#REF!,_xll.RiskStatic($D14)))</f>
        <v>1</v>
      </c>
    </row>
    <row r="15" spans="1:33" x14ac:dyDescent="0.25">
      <c r="A15" s="2" t="s">
        <v>12</v>
      </c>
      <c r="D15" s="81">
        <f t="shared" ref="D15:D17" si="2">F15</f>
        <v>1</v>
      </c>
      <c r="F15" s="90">
        <v>1</v>
      </c>
      <c r="G15" s="21">
        <v>1.63934426229508E-2</v>
      </c>
      <c r="H15" s="77"/>
      <c r="J15" s="32">
        <f t="shared" ref="J15:AD15" si="3">$D$15</f>
        <v>1</v>
      </c>
      <c r="K15" s="41">
        <f t="shared" si="3"/>
        <v>1</v>
      </c>
      <c r="L15" s="41">
        <f t="shared" si="3"/>
        <v>1</v>
      </c>
      <c r="M15" s="41">
        <f t="shared" si="3"/>
        <v>1</v>
      </c>
      <c r="N15" s="41">
        <f t="shared" si="3"/>
        <v>1</v>
      </c>
      <c r="O15" s="41">
        <f t="shared" si="3"/>
        <v>1</v>
      </c>
      <c r="P15" s="41">
        <f t="shared" si="3"/>
        <v>1</v>
      </c>
      <c r="Q15" s="41">
        <f t="shared" si="3"/>
        <v>1</v>
      </c>
      <c r="R15" s="41">
        <f t="shared" si="3"/>
        <v>1</v>
      </c>
      <c r="S15" s="41">
        <f t="shared" si="3"/>
        <v>1</v>
      </c>
      <c r="T15" s="41">
        <f t="shared" si="3"/>
        <v>1</v>
      </c>
      <c r="U15" s="41">
        <f t="shared" si="3"/>
        <v>1</v>
      </c>
      <c r="V15" s="41">
        <f t="shared" si="3"/>
        <v>1</v>
      </c>
      <c r="W15" s="41">
        <f t="shared" si="3"/>
        <v>1</v>
      </c>
      <c r="X15" s="41">
        <f t="shared" si="3"/>
        <v>1</v>
      </c>
      <c r="Y15" s="41">
        <f t="shared" si="3"/>
        <v>1</v>
      </c>
      <c r="Z15" s="41">
        <f t="shared" si="3"/>
        <v>1</v>
      </c>
      <c r="AA15" s="41">
        <f t="shared" si="3"/>
        <v>1</v>
      </c>
      <c r="AB15" s="41">
        <f t="shared" si="3"/>
        <v>1</v>
      </c>
      <c r="AC15" s="41">
        <f t="shared" si="3"/>
        <v>1</v>
      </c>
      <c r="AD15" s="41">
        <f t="shared" si="3"/>
        <v>1</v>
      </c>
    </row>
    <row r="16" spans="1:33" x14ac:dyDescent="0.25">
      <c r="A16" s="2" t="s">
        <v>4</v>
      </c>
      <c r="B16" s="56" t="e">
        <f ca="1">_xll.RiskTriang(C16,D16,#REF!,_xll.RiskStatic(D16))</f>
        <v>#NAME?</v>
      </c>
      <c r="C16" s="59"/>
      <c r="D16" s="81">
        <f t="shared" si="2"/>
        <v>0.98360655737704894</v>
      </c>
      <c r="F16" s="90">
        <v>0.98360655737704894</v>
      </c>
      <c r="G16" s="21">
        <v>0.41803278688524598</v>
      </c>
      <c r="H16" s="77"/>
      <c r="J16" s="32">
        <f ca="1">IF(ISERR($B16),$D16,_xll.RiskTriang($C16,$D16,#REF!,_xll.RiskStatic($D16)))</f>
        <v>0.98360655737704894</v>
      </c>
      <c r="K16" s="41">
        <f ca="1">IF(ISERR($B16),$D16,_xll.RiskTriang($C16,$D16,#REF!,_xll.RiskStatic($D16)))</f>
        <v>0.98360655737704894</v>
      </c>
      <c r="L16" s="41">
        <f ca="1">IF(ISERR($B16),$D16,_xll.RiskTriang($C16,$D16,#REF!,_xll.RiskStatic($D16)))</f>
        <v>0.98360655737704894</v>
      </c>
      <c r="M16" s="41">
        <f ca="1">IF(ISERR($B16),$D16,_xll.RiskTriang($C16,$D16,#REF!,_xll.RiskStatic($D16)))</f>
        <v>0.98360655737704894</v>
      </c>
      <c r="N16" s="41">
        <f ca="1">IF(ISERR($B16),$D16,_xll.RiskTriang($C16,$D16,#REF!,_xll.RiskStatic($D16)))</f>
        <v>0.98360655737704894</v>
      </c>
      <c r="O16" s="41">
        <f ca="1">IF(ISERR($B16),$D16,_xll.RiskTriang($C16,$D16,#REF!,_xll.RiskStatic($D16)))</f>
        <v>0.98360655737704894</v>
      </c>
      <c r="P16" s="41">
        <f ca="1">IF(ISERR($B16),$D16,_xll.RiskTriang($C16,$D16,#REF!,_xll.RiskStatic($D16)))</f>
        <v>0.98360655737704894</v>
      </c>
      <c r="Q16" s="41">
        <f ca="1">IF(ISERR($B16),$D16,_xll.RiskTriang($C16,$D16,#REF!,_xll.RiskStatic($D16)))</f>
        <v>0.98360655737704894</v>
      </c>
      <c r="R16" s="41">
        <f ca="1">IF(ISERR($B16),$D16,_xll.RiskTriang($C16,$D16,#REF!,_xll.RiskStatic($D16)))</f>
        <v>0.98360655737704894</v>
      </c>
      <c r="S16" s="41">
        <f ca="1">IF(ISERR($B16),$D16,_xll.RiskTriang($C16,$D16,#REF!,_xll.RiskStatic($D16)))</f>
        <v>0.98360655737704894</v>
      </c>
      <c r="T16" s="41">
        <f ca="1">IF(ISERR($B16),$D16,_xll.RiskTriang($C16,$D16,#REF!,_xll.RiskStatic($D16)))</f>
        <v>0.98360655737704894</v>
      </c>
      <c r="U16" s="41">
        <f ca="1">IF(ISERR($B16),$D16,_xll.RiskTriang($C16,$D16,#REF!,_xll.RiskStatic($D16)))</f>
        <v>0.98360655737704894</v>
      </c>
      <c r="V16" s="41">
        <f ca="1">IF(ISERR($B16),$D16,_xll.RiskTriang($C16,$D16,#REF!,_xll.RiskStatic($D16)))</f>
        <v>0.98360655737704894</v>
      </c>
      <c r="W16" s="41">
        <f ca="1">IF(ISERR($B16),$D16,_xll.RiskTriang($C16,$D16,#REF!,_xll.RiskStatic($D16)))</f>
        <v>0.98360655737704894</v>
      </c>
      <c r="X16" s="41">
        <f ca="1">IF(ISERR($B16),$D16,_xll.RiskTriang($C16,$D16,#REF!,_xll.RiskStatic($D16)))</f>
        <v>0.98360655737704894</v>
      </c>
      <c r="Y16" s="41">
        <f ca="1">IF(ISERR($B16),$D16,_xll.RiskTriang($C16,$D16,#REF!,_xll.RiskStatic($D16)))</f>
        <v>0.98360655737704894</v>
      </c>
      <c r="Z16" s="41">
        <f ca="1">IF(ISERR($B16),$D16,_xll.RiskTriang($C16,$D16,#REF!,_xll.RiskStatic($D16)))</f>
        <v>0.98360655737704894</v>
      </c>
      <c r="AA16" s="41">
        <f ca="1">IF(ISERR($B16),$D16,_xll.RiskTriang($C16,$D16,#REF!,_xll.RiskStatic($D16)))</f>
        <v>0.98360655737704894</v>
      </c>
      <c r="AB16" s="41">
        <f ca="1">IF(ISERR($B16),$D16,_xll.RiskTriang($C16,$D16,#REF!,_xll.RiskStatic($D16)))</f>
        <v>0.98360655737704894</v>
      </c>
      <c r="AC16" s="41">
        <f ca="1">IF(ISERR($B16),$D16,_xll.RiskTriang($C16,$D16,#REF!,_xll.RiskStatic($D16)))</f>
        <v>0.98360655737704894</v>
      </c>
      <c r="AD16" s="41">
        <f ca="1">IF(ISERR($B16),$D16,_xll.RiskTriang($C16,$D16,#REF!,_xll.RiskStatic($D16)))</f>
        <v>0.98360655737704894</v>
      </c>
    </row>
    <row r="17" spans="1:30" x14ac:dyDescent="0.25">
      <c r="A17" s="2" t="s">
        <v>73</v>
      </c>
      <c r="B17" s="57" t="e">
        <f ca="1">_xll.RiskTriang(C17,D17,#REF!,_xll.RiskStatic(D17))</f>
        <v>#NAME?</v>
      </c>
      <c r="C17" s="59"/>
      <c r="D17" s="81">
        <f t="shared" si="2"/>
        <v>0.05</v>
      </c>
      <c r="F17" s="90">
        <v>0.05</v>
      </c>
      <c r="G17" s="21">
        <v>0.56557377049180302</v>
      </c>
      <c r="H17" s="77"/>
      <c r="J17" s="48">
        <f ca="1">IF(ISERR($B17),$D17,_xll.RiskTriang($C17,$D17,#REF!,_xll.RiskStatic($D17)))</f>
        <v>0.05</v>
      </c>
      <c r="K17" s="49">
        <f ca="1">IF(ISERR($B17),$D17,_xll.RiskTriang($C17,$D17,#REF!,_xll.RiskStatic($D17)))</f>
        <v>0.05</v>
      </c>
      <c r="L17" s="49">
        <f ca="1">IF(ISERR($B17),$D17,_xll.RiskTriang($C17,$D17,#REF!,_xll.RiskStatic($D17)))</f>
        <v>0.05</v>
      </c>
      <c r="M17" s="49">
        <f ca="1">IF(ISERR($B17),$D17,_xll.RiskTriang($C17,$D17,#REF!,_xll.RiskStatic($D17)))</f>
        <v>0.05</v>
      </c>
      <c r="N17" s="49">
        <f ca="1">IF(ISERR($B17),$D17,_xll.RiskTriang($C17,$D17,#REF!,_xll.RiskStatic($D17)))</f>
        <v>0.05</v>
      </c>
      <c r="O17" s="49">
        <f ca="1">IF(ISERR($B17),$D17,_xll.RiskTriang($C17,$D17,#REF!,_xll.RiskStatic($D17)))</f>
        <v>0.05</v>
      </c>
      <c r="P17" s="49">
        <f ca="1">IF(ISERR($B17),$D17,_xll.RiskTriang($C17,$D17,#REF!,_xll.RiskStatic($D17)))</f>
        <v>0.05</v>
      </c>
      <c r="Q17" s="49">
        <f ca="1">IF(ISERR($B17),$D17,_xll.RiskTriang($C17,$D17,#REF!,_xll.RiskStatic($D17)))</f>
        <v>0.05</v>
      </c>
      <c r="R17" s="49">
        <f ca="1">IF(ISERR($B17),$D17,_xll.RiskTriang($C17,$D17,#REF!,_xll.RiskStatic($D17)))</f>
        <v>0.05</v>
      </c>
      <c r="S17" s="49">
        <f ca="1">IF(ISERR($B17),$D17,_xll.RiskTriang($C17,$D17,#REF!,_xll.RiskStatic($D17)))</f>
        <v>0.05</v>
      </c>
      <c r="T17" s="49">
        <f ca="1">IF(ISERR($B17),$D17,_xll.RiskTriang($C17,$D17,#REF!,_xll.RiskStatic($D17)))</f>
        <v>0.05</v>
      </c>
      <c r="U17" s="49">
        <f ca="1">IF(ISERR($B17),$D17,_xll.RiskTriang($C17,$D17,#REF!,_xll.RiskStatic($D17)))</f>
        <v>0.05</v>
      </c>
      <c r="V17" s="49">
        <f ca="1">IF(ISERR($B17),$D17,_xll.RiskTriang($C17,$D17,#REF!,_xll.RiskStatic($D17)))</f>
        <v>0.05</v>
      </c>
      <c r="W17" s="49">
        <f ca="1">IF(ISERR($B17),$D17,_xll.RiskTriang($C17,$D17,#REF!,_xll.RiskStatic($D17)))</f>
        <v>0.05</v>
      </c>
      <c r="X17" s="49">
        <f ca="1">IF(ISERR($B17),$D17,_xll.RiskTriang($C17,$D17,#REF!,_xll.RiskStatic($D17)))</f>
        <v>0.05</v>
      </c>
      <c r="Y17" s="49">
        <f ca="1">IF(ISERR($B17),$D17,_xll.RiskTriang($C17,$D17,#REF!,_xll.RiskStatic($D17)))</f>
        <v>0.05</v>
      </c>
      <c r="Z17" s="49">
        <f ca="1">IF(ISERR($B17),$D17,_xll.RiskTriang($C17,$D17,#REF!,_xll.RiskStatic($D17)))</f>
        <v>0.05</v>
      </c>
      <c r="AA17" s="49">
        <f ca="1">IF(ISERR($B17),$D17,_xll.RiskTriang($C17,$D17,#REF!,_xll.RiskStatic($D17)))</f>
        <v>0.05</v>
      </c>
      <c r="AB17" s="49">
        <f ca="1">IF(ISERR($B17),$D17,_xll.RiskTriang($C17,$D17,#REF!,_xll.RiskStatic($D17)))</f>
        <v>0.05</v>
      </c>
      <c r="AC17" s="49">
        <f ca="1">IF(ISERR($B17),$D17,_xll.RiskTriang($C17,$D17,#REF!,_xll.RiskStatic($D17)))</f>
        <v>0.05</v>
      </c>
      <c r="AD17" s="49">
        <f ca="1">IF(ISERR($B17),$D17,_xll.RiskTriang($C17,$D17,#REF!,_xll.RiskStatic($D17)))</f>
        <v>0.05</v>
      </c>
    </row>
    <row r="18" spans="1:30" x14ac:dyDescent="0.25">
      <c r="B18" s="51"/>
      <c r="C18" s="51"/>
      <c r="D18" s="82"/>
      <c r="F18" s="91"/>
    </row>
    <row r="19" spans="1:30" ht="18.75" x14ac:dyDescent="0.3">
      <c r="A19" s="42" t="s">
        <v>13</v>
      </c>
      <c r="B19" s="51"/>
      <c r="C19" s="51"/>
      <c r="D19" s="82"/>
      <c r="F19" s="91"/>
    </row>
    <row r="20" spans="1:30" x14ac:dyDescent="0.25">
      <c r="A20" s="2" t="s">
        <v>0</v>
      </c>
      <c r="B20" s="55" t="e">
        <f ca="1">_xll.RiskTriang(C20,D20,#REF!,_xll.RiskStatic(D20))</f>
        <v>#NAME?</v>
      </c>
      <c r="C20" s="59"/>
      <c r="D20" s="81">
        <f t="shared" ref="D20:D23" si="4">F20</f>
        <v>0.86</v>
      </c>
      <c r="F20" s="90">
        <v>0.86</v>
      </c>
      <c r="J20" s="31">
        <f ca="1">IF(ISERR($B20),$D20,_xll.RiskTriang($C20,$D20,#REF!,_xll.RiskStatic($D20)))</f>
        <v>0.86</v>
      </c>
      <c r="K20" s="40">
        <f ca="1">IF(ISERR($B20),$D20,_xll.RiskTriang($C20,$D20,#REF!,_xll.RiskStatic($D20)))</f>
        <v>0.86</v>
      </c>
      <c r="L20" s="40">
        <f ca="1">IF(ISERR($B20),$D20,_xll.RiskTriang($C20,$D20,#REF!,_xll.RiskStatic($D20)))</f>
        <v>0.86</v>
      </c>
      <c r="M20" s="40">
        <f ca="1">IF(ISERR($B20),$D20,_xll.RiskTriang($C20,$D20,#REF!,_xll.RiskStatic($D20)))</f>
        <v>0.86</v>
      </c>
      <c r="N20" s="40">
        <f ca="1">IF(ISERR($B20),$D20,_xll.RiskTriang($C20,$D20,#REF!,_xll.RiskStatic($D20)))</f>
        <v>0.86</v>
      </c>
      <c r="O20" s="40">
        <f ca="1">IF(ISERR($B20),$D20,_xll.RiskTriang($C20,$D20,#REF!,_xll.RiskStatic($D20)))</f>
        <v>0.86</v>
      </c>
      <c r="P20" s="40">
        <f ca="1">IF(ISERR($B20),$D20,_xll.RiskTriang($C20,$D20,#REF!,_xll.RiskStatic($D20)))</f>
        <v>0.86</v>
      </c>
      <c r="Q20" s="40">
        <f ca="1">IF(ISERR($B20),$D20,_xll.RiskTriang($C20,$D20,#REF!,_xll.RiskStatic($D20)))</f>
        <v>0.86</v>
      </c>
      <c r="R20" s="40">
        <f ca="1">IF(ISERR($B20),$D20,_xll.RiskTriang($C20,$D20,#REF!,_xll.RiskStatic($D20)))</f>
        <v>0.86</v>
      </c>
      <c r="S20" s="40">
        <f ca="1">IF(ISERR($B20),$D20,_xll.RiskTriang($C20,$D20,#REF!,_xll.RiskStatic($D20)))</f>
        <v>0.86</v>
      </c>
      <c r="T20" s="40">
        <f ca="1">IF(ISERR($B20),$D20,_xll.RiskTriang($C20,$D20,#REF!,_xll.RiskStatic($D20)))</f>
        <v>0.86</v>
      </c>
      <c r="U20" s="40">
        <f ca="1">IF(ISERR($B20),$D20,_xll.RiskTriang($C20,$D20,#REF!,_xll.RiskStatic($D20)))</f>
        <v>0.86</v>
      </c>
      <c r="V20" s="40">
        <f ca="1">IF(ISERR($B20),$D20,_xll.RiskTriang($C20,$D20,#REF!,_xll.RiskStatic($D20)))</f>
        <v>0.86</v>
      </c>
      <c r="W20" s="40">
        <f ca="1">IF(ISERR($B20),$D20,_xll.RiskTriang($C20,$D20,#REF!,_xll.RiskStatic($D20)))</f>
        <v>0.86</v>
      </c>
      <c r="X20" s="40">
        <f ca="1">IF(ISERR($B20),$D20,_xll.RiskTriang($C20,$D20,#REF!,_xll.RiskStatic($D20)))</f>
        <v>0.86</v>
      </c>
      <c r="Y20" s="40">
        <f ca="1">IF(ISERR($B20),$D20,_xll.RiskTriang($C20,$D20,#REF!,_xll.RiskStatic($D20)))</f>
        <v>0.86</v>
      </c>
      <c r="Z20" s="40">
        <f ca="1">IF(ISERR($B20),$D20,_xll.RiskTriang($C20,$D20,#REF!,_xll.RiskStatic($D20)))</f>
        <v>0.86</v>
      </c>
      <c r="AA20" s="40">
        <f ca="1">IF(ISERR($B20),$D20,_xll.RiskTriang($C20,$D20,#REF!,_xll.RiskStatic($D20)))</f>
        <v>0.86</v>
      </c>
      <c r="AB20" s="40">
        <f ca="1">IF(ISERR($B20),$D20,_xll.RiskTriang($C20,$D20,#REF!,_xll.RiskStatic($D20)))</f>
        <v>0.86</v>
      </c>
      <c r="AC20" s="40">
        <f ca="1">IF(ISERR($B20),$D20,_xll.RiskTriang($C20,$D20,#REF!,_xll.RiskStatic($D20)))</f>
        <v>0.86</v>
      </c>
      <c r="AD20" s="40">
        <f ca="1">IF(ISERR($B20),$D20,_xll.RiskTriang($C20,$D20,#REF!,_xll.RiskStatic($D20)))</f>
        <v>0.86</v>
      </c>
    </row>
    <row r="21" spans="1:30" x14ac:dyDescent="0.25">
      <c r="A21" s="2" t="s">
        <v>12</v>
      </c>
      <c r="B21" s="56" t="e">
        <f ca="1">_xll.RiskTriang(C21,D21,#REF!,_xll.RiskStatic(D21))</f>
        <v>#NAME?</v>
      </c>
      <c r="C21" s="59"/>
      <c r="D21" s="81">
        <f t="shared" si="4"/>
        <v>0.81</v>
      </c>
      <c r="F21" s="90">
        <v>0.81</v>
      </c>
      <c r="J21" s="32">
        <f ca="1">IF(ISERR($B21),$D21,_xll.RiskTriang($C21,$D21,#REF!,_xll.RiskStatic($D21)))</f>
        <v>0.81</v>
      </c>
      <c r="K21" s="41">
        <f ca="1">IF(ISERR($B21),$D21,_xll.RiskTriang($C21,$D21,#REF!,_xll.RiskStatic($D21)))</f>
        <v>0.81</v>
      </c>
      <c r="L21" s="41">
        <f ca="1">IF(ISERR($B21),$D21,_xll.RiskTriang($C21,$D21,#REF!,_xll.RiskStatic($D21)))</f>
        <v>0.81</v>
      </c>
      <c r="M21" s="41">
        <f ca="1">IF(ISERR($B21),$D21,_xll.RiskTriang($C21,$D21,#REF!,_xll.RiskStatic($D21)))</f>
        <v>0.81</v>
      </c>
      <c r="N21" s="41">
        <f ca="1">IF(ISERR($B21),$D21,_xll.RiskTriang($C21,$D21,#REF!,_xll.RiskStatic($D21)))</f>
        <v>0.81</v>
      </c>
      <c r="O21" s="41">
        <f ca="1">IF(ISERR($B21),$D21,_xll.RiskTriang($C21,$D21,#REF!,_xll.RiskStatic($D21)))</f>
        <v>0.81</v>
      </c>
      <c r="P21" s="41">
        <f ca="1">IF(ISERR($B21),$D21,_xll.RiskTriang($C21,$D21,#REF!,_xll.RiskStatic($D21)))</f>
        <v>0.81</v>
      </c>
      <c r="Q21" s="41">
        <f ca="1">IF(ISERR($B21),$D21,_xll.RiskTriang($C21,$D21,#REF!,_xll.RiskStatic($D21)))</f>
        <v>0.81</v>
      </c>
      <c r="R21" s="41">
        <f ca="1">IF(ISERR($B21),$D21,_xll.RiskTriang($C21,$D21,#REF!,_xll.RiskStatic($D21)))</f>
        <v>0.81</v>
      </c>
      <c r="S21" s="41">
        <f ca="1">IF(ISERR($B21),$D21,_xll.RiskTriang($C21,$D21,#REF!,_xll.RiskStatic($D21)))</f>
        <v>0.81</v>
      </c>
      <c r="T21" s="41">
        <f ca="1">IF(ISERR($B21),$D21,_xll.RiskTriang($C21,$D21,#REF!,_xll.RiskStatic($D21)))</f>
        <v>0.81</v>
      </c>
      <c r="U21" s="41">
        <f ca="1">IF(ISERR($B21),$D21,_xll.RiskTriang($C21,$D21,#REF!,_xll.RiskStatic($D21)))</f>
        <v>0.81</v>
      </c>
      <c r="V21" s="41">
        <f ca="1">IF(ISERR($B21),$D21,_xll.RiskTriang($C21,$D21,#REF!,_xll.RiskStatic($D21)))</f>
        <v>0.81</v>
      </c>
      <c r="W21" s="41">
        <f ca="1">IF(ISERR($B21),$D21,_xll.RiskTriang($C21,$D21,#REF!,_xll.RiskStatic($D21)))</f>
        <v>0.81</v>
      </c>
      <c r="X21" s="41">
        <f ca="1">IF(ISERR($B21),$D21,_xll.RiskTriang($C21,$D21,#REF!,_xll.RiskStatic($D21)))</f>
        <v>0.81</v>
      </c>
      <c r="Y21" s="41">
        <f ca="1">IF(ISERR($B21),$D21,_xll.RiskTriang($C21,$D21,#REF!,_xll.RiskStatic($D21)))</f>
        <v>0.81</v>
      </c>
      <c r="Z21" s="41">
        <f ca="1">IF(ISERR($B21),$D21,_xll.RiskTriang($C21,$D21,#REF!,_xll.RiskStatic($D21)))</f>
        <v>0.81</v>
      </c>
      <c r="AA21" s="41">
        <f ca="1">IF(ISERR($B21),$D21,_xll.RiskTriang($C21,$D21,#REF!,_xll.RiskStatic($D21)))</f>
        <v>0.81</v>
      </c>
      <c r="AB21" s="41">
        <f ca="1">IF(ISERR($B21),$D21,_xll.RiskTriang($C21,$D21,#REF!,_xll.RiskStatic($D21)))</f>
        <v>0.81</v>
      </c>
      <c r="AC21" s="41">
        <f ca="1">IF(ISERR($B21),$D21,_xll.RiskTriang($C21,$D21,#REF!,_xll.RiskStatic($D21)))</f>
        <v>0.81</v>
      </c>
      <c r="AD21" s="41">
        <f ca="1">IF(ISERR($B21),$D21,_xll.RiskTriang($C21,$D21,#REF!,_xll.RiskStatic($D21)))</f>
        <v>0.81</v>
      </c>
    </row>
    <row r="22" spans="1:30" x14ac:dyDescent="0.25">
      <c r="A22" s="2" t="s">
        <v>4</v>
      </c>
      <c r="B22" s="56" t="e">
        <f ca="1">_xll.RiskTriang(C22,D22,#REF!,_xll.RiskStatic(D22))</f>
        <v>#NAME?</v>
      </c>
      <c r="C22" s="59"/>
      <c r="D22" s="81">
        <f t="shared" si="4"/>
        <v>0.81</v>
      </c>
      <c r="F22" s="90">
        <v>0.81</v>
      </c>
      <c r="J22" s="32">
        <f ca="1">IF(ISERR($B22),$D22,_xll.RiskTriang($C22,$D22,#REF!,_xll.RiskStatic($D22)))</f>
        <v>0.81</v>
      </c>
      <c r="K22" s="41">
        <f ca="1">IF(ISERR($B22),$D22,_xll.RiskTriang($C22,$D22,#REF!,_xll.RiskStatic($D22)))</f>
        <v>0.81</v>
      </c>
      <c r="L22" s="41">
        <f ca="1">IF(ISERR($B22),$D22,_xll.RiskTriang($C22,$D22,#REF!,_xll.RiskStatic($D22)))</f>
        <v>0.81</v>
      </c>
      <c r="M22" s="41">
        <f ca="1">IF(ISERR($B22),$D22,_xll.RiskTriang($C22,$D22,#REF!,_xll.RiskStatic($D22)))</f>
        <v>0.81</v>
      </c>
      <c r="N22" s="41">
        <f ca="1">IF(ISERR($B22),$D22,_xll.RiskTriang($C22,$D22,#REF!,_xll.RiskStatic($D22)))</f>
        <v>0.81</v>
      </c>
      <c r="O22" s="41">
        <f ca="1">IF(ISERR($B22),$D22,_xll.RiskTriang($C22,$D22,#REF!,_xll.RiskStatic($D22)))</f>
        <v>0.81</v>
      </c>
      <c r="P22" s="41">
        <f ca="1">IF(ISERR($B22),$D22,_xll.RiskTriang($C22,$D22,#REF!,_xll.RiskStatic($D22)))</f>
        <v>0.81</v>
      </c>
      <c r="Q22" s="41">
        <f ca="1">IF(ISERR($B22),$D22,_xll.RiskTriang($C22,$D22,#REF!,_xll.RiskStatic($D22)))</f>
        <v>0.81</v>
      </c>
      <c r="R22" s="41">
        <f ca="1">IF(ISERR($B22),$D22,_xll.RiskTriang($C22,$D22,#REF!,_xll.RiskStatic($D22)))</f>
        <v>0.81</v>
      </c>
      <c r="S22" s="41">
        <f ca="1">IF(ISERR($B22),$D22,_xll.RiskTriang($C22,$D22,#REF!,_xll.RiskStatic($D22)))</f>
        <v>0.81</v>
      </c>
      <c r="T22" s="41">
        <f ca="1">IF(ISERR($B22),$D22,_xll.RiskTriang($C22,$D22,#REF!,_xll.RiskStatic($D22)))</f>
        <v>0.81</v>
      </c>
      <c r="U22" s="41">
        <f ca="1">IF(ISERR($B22),$D22,_xll.RiskTriang($C22,$D22,#REF!,_xll.RiskStatic($D22)))</f>
        <v>0.81</v>
      </c>
      <c r="V22" s="41">
        <f ca="1">IF(ISERR($B22),$D22,_xll.RiskTriang($C22,$D22,#REF!,_xll.RiskStatic($D22)))</f>
        <v>0.81</v>
      </c>
      <c r="W22" s="41">
        <f ca="1">IF(ISERR($B22),$D22,_xll.RiskTriang($C22,$D22,#REF!,_xll.RiskStatic($D22)))</f>
        <v>0.81</v>
      </c>
      <c r="X22" s="41">
        <f ca="1">IF(ISERR($B22),$D22,_xll.RiskTriang($C22,$D22,#REF!,_xll.RiskStatic($D22)))</f>
        <v>0.81</v>
      </c>
      <c r="Y22" s="41">
        <f ca="1">IF(ISERR($B22),$D22,_xll.RiskTriang($C22,$D22,#REF!,_xll.RiskStatic($D22)))</f>
        <v>0.81</v>
      </c>
      <c r="Z22" s="41">
        <f ca="1">IF(ISERR($B22),$D22,_xll.RiskTriang($C22,$D22,#REF!,_xll.RiskStatic($D22)))</f>
        <v>0.81</v>
      </c>
      <c r="AA22" s="41">
        <f ca="1">IF(ISERR($B22),$D22,_xll.RiskTriang($C22,$D22,#REF!,_xll.RiskStatic($D22)))</f>
        <v>0.81</v>
      </c>
      <c r="AB22" s="41">
        <f ca="1">IF(ISERR($B22),$D22,_xll.RiskTriang($C22,$D22,#REF!,_xll.RiskStatic($D22)))</f>
        <v>0.81</v>
      </c>
      <c r="AC22" s="41">
        <f ca="1">IF(ISERR($B22),$D22,_xll.RiskTriang($C22,$D22,#REF!,_xll.RiskStatic($D22)))</f>
        <v>0.81</v>
      </c>
      <c r="AD22" s="41">
        <f ca="1">IF(ISERR($B22),$D22,_xll.RiskTriang($C22,$D22,#REF!,_xll.RiskStatic($D22)))</f>
        <v>0.81</v>
      </c>
    </row>
    <row r="23" spans="1:30" x14ac:dyDescent="0.25">
      <c r="A23" s="2" t="s">
        <v>73</v>
      </c>
      <c r="B23" s="57" t="e">
        <f ca="1">_xll.RiskTriang(C23,D23,#REF!,_xll.RiskStatic(D23))</f>
        <v>#NAME?</v>
      </c>
      <c r="C23" s="59"/>
      <c r="D23" s="81">
        <f t="shared" si="4"/>
        <v>0.81</v>
      </c>
      <c r="F23" s="90">
        <v>0.81</v>
      </c>
      <c r="J23" s="48">
        <f ca="1">IF(ISERR($B23),$D23,_xll.RiskTriang($C23,$D23,#REF!,_xll.RiskStatic($D23)))</f>
        <v>0.81</v>
      </c>
      <c r="K23" s="49">
        <f ca="1">IF(ISERR($B23),$D23,_xll.RiskTriang($C23,$D23,#REF!,_xll.RiskStatic($D23)))</f>
        <v>0.81</v>
      </c>
      <c r="L23" s="49">
        <f ca="1">IF(ISERR($B23),$D23,_xll.RiskTriang($C23,$D23,#REF!,_xll.RiskStatic($D23)))</f>
        <v>0.81</v>
      </c>
      <c r="M23" s="49">
        <f ca="1">IF(ISERR($B23),$D23,_xll.RiskTriang($C23,$D23,#REF!,_xll.RiskStatic($D23)))</f>
        <v>0.81</v>
      </c>
      <c r="N23" s="49">
        <f ca="1">IF(ISERR($B23),$D23,_xll.RiskTriang($C23,$D23,#REF!,_xll.RiskStatic($D23)))</f>
        <v>0.81</v>
      </c>
      <c r="O23" s="49">
        <f ca="1">IF(ISERR($B23),$D23,_xll.RiskTriang($C23,$D23,#REF!,_xll.RiskStatic($D23)))</f>
        <v>0.81</v>
      </c>
      <c r="P23" s="49">
        <f ca="1">IF(ISERR($B23),$D23,_xll.RiskTriang($C23,$D23,#REF!,_xll.RiskStatic($D23)))</f>
        <v>0.81</v>
      </c>
      <c r="Q23" s="49">
        <f ca="1">IF(ISERR($B23),$D23,_xll.RiskTriang($C23,$D23,#REF!,_xll.RiskStatic($D23)))</f>
        <v>0.81</v>
      </c>
      <c r="R23" s="49">
        <f ca="1">IF(ISERR($B23),$D23,_xll.RiskTriang($C23,$D23,#REF!,_xll.RiskStatic($D23)))</f>
        <v>0.81</v>
      </c>
      <c r="S23" s="49">
        <f ca="1">IF(ISERR($B23),$D23,_xll.RiskTriang($C23,$D23,#REF!,_xll.RiskStatic($D23)))</f>
        <v>0.81</v>
      </c>
      <c r="T23" s="49">
        <f ca="1">IF(ISERR($B23),$D23,_xll.RiskTriang($C23,$D23,#REF!,_xll.RiskStatic($D23)))</f>
        <v>0.81</v>
      </c>
      <c r="U23" s="49">
        <f ca="1">IF(ISERR($B23),$D23,_xll.RiskTriang($C23,$D23,#REF!,_xll.RiskStatic($D23)))</f>
        <v>0.81</v>
      </c>
      <c r="V23" s="49">
        <f ca="1">IF(ISERR($B23),$D23,_xll.RiskTriang($C23,$D23,#REF!,_xll.RiskStatic($D23)))</f>
        <v>0.81</v>
      </c>
      <c r="W23" s="49">
        <f ca="1">IF(ISERR($B23),$D23,_xll.RiskTriang($C23,$D23,#REF!,_xll.RiskStatic($D23)))</f>
        <v>0.81</v>
      </c>
      <c r="X23" s="49">
        <f ca="1">IF(ISERR($B23),$D23,_xll.RiskTriang($C23,$D23,#REF!,_xll.RiskStatic($D23)))</f>
        <v>0.81</v>
      </c>
      <c r="Y23" s="49">
        <f ca="1">IF(ISERR($B23),$D23,_xll.RiskTriang($C23,$D23,#REF!,_xll.RiskStatic($D23)))</f>
        <v>0.81</v>
      </c>
      <c r="Z23" s="49">
        <f ca="1">IF(ISERR($B23),$D23,_xll.RiskTriang($C23,$D23,#REF!,_xll.RiskStatic($D23)))</f>
        <v>0.81</v>
      </c>
      <c r="AA23" s="49">
        <f ca="1">IF(ISERR($B23),$D23,_xll.RiskTriang($C23,$D23,#REF!,_xll.RiskStatic($D23)))</f>
        <v>0.81</v>
      </c>
      <c r="AB23" s="49">
        <f ca="1">IF(ISERR($B23),$D23,_xll.RiskTriang($C23,$D23,#REF!,_xll.RiskStatic($D23)))</f>
        <v>0.81</v>
      </c>
      <c r="AC23" s="49">
        <f ca="1">IF(ISERR($B23),$D23,_xll.RiskTriang($C23,$D23,#REF!,_xll.RiskStatic($D23)))</f>
        <v>0.81</v>
      </c>
      <c r="AD23" s="49">
        <f ca="1">IF(ISERR($B23),$D23,_xll.RiskTriang($C23,$D23,#REF!,_xll.RiskStatic($D23)))</f>
        <v>0.81</v>
      </c>
    </row>
    <row r="24" spans="1:30" x14ac:dyDescent="0.25">
      <c r="D24" s="81"/>
      <c r="F24" s="89"/>
      <c r="K24" s="5"/>
    </row>
    <row r="25" spans="1:30" ht="19.5" thickBot="1" x14ac:dyDescent="0.35">
      <c r="A25" s="58" t="s">
        <v>47</v>
      </c>
      <c r="D25" s="81"/>
      <c r="F25" s="90"/>
      <c r="I25" s="5"/>
      <c r="J25" s="5"/>
      <c r="K25" s="5"/>
    </row>
    <row r="26" spans="1:30" ht="15.75" thickBot="1" x14ac:dyDescent="0.3">
      <c r="A26" s="2" t="s">
        <v>0</v>
      </c>
      <c r="B26" s="64" t="e">
        <f ca="1">_xll.RiskTriang(C26,'I-O 5.65'!K49,#REF!,_xll.RiskStatic('I-O 5.65'!K49))</f>
        <v>#NAME?</v>
      </c>
      <c r="C26" s="75"/>
      <c r="F26" s="92">
        <v>0</v>
      </c>
      <c r="J26" s="161">
        <f t="shared" ref="J26:AD26" si="5">VLOOKUP(Dispon,$B$74:$AC$78,J$59,FALSE)+VLOOKUP(Dispon,$B$81:$AC$85,J$59,FALSE)</f>
        <v>0.10758432827170512</v>
      </c>
      <c r="K26" s="162">
        <f t="shared" si="5"/>
        <v>8.9997510734955488E-2</v>
      </c>
      <c r="L26" s="162">
        <f t="shared" si="5"/>
        <v>8.0232474964234621E-2</v>
      </c>
      <c r="M26" s="162">
        <f t="shared" si="5"/>
        <v>7.5696871190572945E-2</v>
      </c>
      <c r="N26" s="162">
        <f t="shared" si="5"/>
        <v>7.5275885018857153E-2</v>
      </c>
      <c r="O26" s="162">
        <f t="shared" si="5"/>
        <v>3.6450756984548152E-2</v>
      </c>
      <c r="P26" s="162">
        <f t="shared" si="5"/>
        <v>2.7605183956759413E-2</v>
      </c>
      <c r="Q26" s="162">
        <f t="shared" si="5"/>
        <v>-1.220102703742619E-2</v>
      </c>
      <c r="R26" s="162">
        <f t="shared" si="5"/>
        <v>3.1889378365149289E-2</v>
      </c>
      <c r="S26" s="162">
        <f t="shared" si="5"/>
        <v>-2.427145402640201E-3</v>
      </c>
      <c r="T26" s="162">
        <f t="shared" si="5"/>
        <v>1.5031874991086411E-2</v>
      </c>
      <c r="U26" s="162">
        <f t="shared" si="5"/>
        <v>1.3544715827927781E-2</v>
      </c>
      <c r="V26" s="162">
        <f t="shared" si="5"/>
        <v>3.1833859348357495E-2</v>
      </c>
      <c r="W26" s="162">
        <f t="shared" si="5"/>
        <v>2.7377313098059079E-2</v>
      </c>
      <c r="X26" s="162">
        <f t="shared" si="5"/>
        <v>-3.0409444243923479E-3</v>
      </c>
      <c r="Y26" s="162">
        <f t="shared" si="5"/>
        <v>1.2641683459589888E-2</v>
      </c>
      <c r="Z26" s="162">
        <f t="shared" si="5"/>
        <v>4.2880224813195256E-2</v>
      </c>
      <c r="AA26" s="162">
        <f t="shared" si="5"/>
        <v>1.3214864842274195E-2</v>
      </c>
      <c r="AB26" s="162">
        <f t="shared" si="5"/>
        <v>8.4459531921563438E-3</v>
      </c>
      <c r="AC26" s="162">
        <f t="shared" si="5"/>
        <v>6.4031428455712611E-3</v>
      </c>
      <c r="AD26" s="163" t="e">
        <f t="shared" si="5"/>
        <v>#VALUE!</v>
      </c>
    </row>
    <row r="27" spans="1:30" x14ac:dyDescent="0.25">
      <c r="D27" s="80"/>
      <c r="F27" s="89"/>
      <c r="K27" s="5"/>
    </row>
    <row r="28" spans="1:30" ht="18.75" x14ac:dyDescent="0.3">
      <c r="A28" s="42" t="s">
        <v>7</v>
      </c>
      <c r="D28" s="80"/>
      <c r="F28" s="89"/>
    </row>
    <row r="29" spans="1:30" x14ac:dyDescent="0.25">
      <c r="A29" s="2" t="s">
        <v>0</v>
      </c>
      <c r="B29" s="55" t="e">
        <f ca="1">_xll.RiskTriang(C29,D29,#REF!,_xll.RiskStatic(D29))</f>
        <v>#NAME?</v>
      </c>
      <c r="C29" s="59"/>
      <c r="D29" s="102">
        <f t="shared" ref="D29:D36" si="6">F29</f>
        <v>2.81E-2</v>
      </c>
      <c r="F29" s="93">
        <v>2.81E-2</v>
      </c>
      <c r="J29" s="50">
        <f ca="1">IF(ISERR($B29),$D29,_xll.RiskTriang($C29,$D29,#REF!,_xll.RiskStatic($D29)))</f>
        <v>2.81E-2</v>
      </c>
      <c r="K29" s="52">
        <f ca="1">IF(ISERR($B29),$D29,_xll.RiskTriang($C29,$D29,#REF!,_xll.RiskStatic($D29)))</f>
        <v>2.81E-2</v>
      </c>
      <c r="L29" s="52">
        <f ca="1">IF(ISERR($B29),$D29,_xll.RiskTriang($C29,$D29,#REF!,_xll.RiskStatic($D29)))</f>
        <v>2.81E-2</v>
      </c>
      <c r="M29" s="52">
        <f ca="1">IF(ISERR($B29),$D29,_xll.RiskTriang($C29,$D29,#REF!,_xll.RiskStatic($D29)))</f>
        <v>2.81E-2</v>
      </c>
      <c r="N29" s="52">
        <f ca="1">IF(ISERR($B29),$D29,_xll.RiskTriang($C29,$D29,#REF!,_xll.RiskStatic($D29)))</f>
        <v>2.81E-2</v>
      </c>
      <c r="O29" s="52">
        <f ca="1">IF(ISERR($B29),$D29,_xll.RiskTriang($C29,$D29,#REF!,_xll.RiskStatic($D29)))</f>
        <v>2.81E-2</v>
      </c>
      <c r="P29" s="52">
        <f ca="1">IF(ISERR($B29),$D29,_xll.RiskTriang($C29,$D29,#REF!,_xll.RiskStatic($D29)))</f>
        <v>2.81E-2</v>
      </c>
      <c r="Q29" s="52">
        <f ca="1">IF(ISERR($B29),$D29,_xll.RiskTriang($C29,$D29,#REF!,_xll.RiskStatic($D29)))</f>
        <v>2.81E-2</v>
      </c>
      <c r="R29" s="52">
        <f ca="1">IF(ISERR($B29),$D29,_xll.RiskTriang($C29,$D29,#REF!,_xll.RiskStatic($D29)))</f>
        <v>2.81E-2</v>
      </c>
      <c r="S29" s="52">
        <f ca="1">IF(ISERR($B29),$D29,_xll.RiskTriang($C29,$D29,#REF!,_xll.RiskStatic($D29)))</f>
        <v>2.81E-2</v>
      </c>
      <c r="T29" s="52">
        <f ca="1">IF(ISERR($B29),$D29,_xll.RiskTriang($C29,$D29,#REF!,_xll.RiskStatic($D29)))</f>
        <v>2.81E-2</v>
      </c>
      <c r="U29" s="52">
        <f ca="1">IF(ISERR($B29),$D29,_xll.RiskTriang($C29,$D29,#REF!,_xll.RiskStatic($D29)))</f>
        <v>2.81E-2</v>
      </c>
      <c r="V29" s="52">
        <f ca="1">IF(ISERR($B29),$D29,_xll.RiskTriang($C29,$D29,#REF!,_xll.RiskStatic($D29)))</f>
        <v>2.81E-2</v>
      </c>
      <c r="W29" s="52">
        <f ca="1">IF(ISERR($B29),$D29,_xll.RiskTriang($C29,$D29,#REF!,_xll.RiskStatic($D29)))</f>
        <v>2.81E-2</v>
      </c>
      <c r="X29" s="52">
        <f ca="1">IF(ISERR($B29),$D29,_xll.RiskTriang($C29,$D29,#REF!,_xll.RiskStatic($D29)))</f>
        <v>2.81E-2</v>
      </c>
      <c r="Y29" s="52">
        <f ca="1">IF(ISERR($B29),$D29,_xll.RiskTriang($C29,$D29,#REF!,_xll.RiskStatic($D29)))</f>
        <v>2.81E-2</v>
      </c>
      <c r="Z29" s="52">
        <f ca="1">IF(ISERR($B29),$D29,_xll.RiskTriang($C29,$D29,#REF!,_xll.RiskStatic($D29)))</f>
        <v>2.81E-2</v>
      </c>
      <c r="AA29" s="52">
        <f ca="1">IF(ISERR($B29),$D29,_xll.RiskTriang($C29,$D29,#REF!,_xll.RiskStatic($D29)))</f>
        <v>2.81E-2</v>
      </c>
      <c r="AB29" s="52">
        <f ca="1">IF(ISERR($B29),$D29,_xll.RiskTriang($C29,$D29,#REF!,_xll.RiskStatic($D29)))</f>
        <v>2.81E-2</v>
      </c>
      <c r="AC29" s="52">
        <f ca="1">IF(ISERR($B29),$D29,_xll.RiskTriang($C29,$D29,#REF!,_xll.RiskStatic($D29)))</f>
        <v>2.81E-2</v>
      </c>
      <c r="AD29" s="52">
        <f ca="1">IF(ISERR($B29),$D29,_xll.RiskTriang($C29,$D29,#REF!,_xll.RiskStatic($D29)))</f>
        <v>2.81E-2</v>
      </c>
    </row>
    <row r="30" spans="1:30" x14ac:dyDescent="0.25">
      <c r="A30" s="2" t="s">
        <v>12</v>
      </c>
      <c r="B30" s="56" t="e">
        <f ca="1">_xll.RiskTriang(C30,D30,#REF!,_xll.RiskStatic(D30))</f>
        <v>#NAME?</v>
      </c>
      <c r="C30" s="59"/>
      <c r="D30" s="102">
        <f t="shared" si="6"/>
        <v>2.4899999999999999E-2</v>
      </c>
      <c r="F30" s="93">
        <v>2.4899999999999999E-2</v>
      </c>
      <c r="J30" s="53">
        <f ca="1">IF(ISERR($B30),$D30,_xll.RiskTriang($C30,$D30,#REF!,_xll.RiskStatic($D30)))</f>
        <v>2.4899999999999999E-2</v>
      </c>
      <c r="K30" s="54">
        <f ca="1">IF(ISERR($B30),$D30,_xll.RiskTriang($C30,$D30,#REF!,_xll.RiskStatic($D30)))</f>
        <v>2.4899999999999999E-2</v>
      </c>
      <c r="L30" s="54">
        <f ca="1">IF(ISERR($B30),$D30,_xll.RiskTriang($C30,$D30,#REF!,_xll.RiskStatic($D30)))</f>
        <v>2.4899999999999999E-2</v>
      </c>
      <c r="M30" s="54">
        <f ca="1">IF(ISERR($B30),$D30,_xll.RiskTriang($C30,$D30,#REF!,_xll.RiskStatic($D30)))</f>
        <v>2.4899999999999999E-2</v>
      </c>
      <c r="N30" s="54">
        <f ca="1">IF(ISERR($B30),$D30,_xll.RiskTriang($C30,$D30,#REF!,_xll.RiskStatic($D30)))</f>
        <v>2.4899999999999999E-2</v>
      </c>
      <c r="O30" s="54">
        <f ca="1">IF(ISERR($B30),$D30,_xll.RiskTriang($C30,$D30,#REF!,_xll.RiskStatic($D30)))</f>
        <v>2.4899999999999999E-2</v>
      </c>
      <c r="P30" s="54">
        <f ca="1">IF(ISERR($B30),$D30,_xll.RiskTriang($C30,$D30,#REF!,_xll.RiskStatic($D30)))</f>
        <v>2.4899999999999999E-2</v>
      </c>
      <c r="Q30" s="54">
        <f ca="1">IF(ISERR($B30),$D30,_xll.RiskTriang($C30,$D30,#REF!,_xll.RiskStatic($D30)))</f>
        <v>2.4899999999999999E-2</v>
      </c>
      <c r="R30" s="54">
        <f ca="1">IF(ISERR($B30),$D30,_xll.RiskTriang($C30,$D30,#REF!,_xll.RiskStatic($D30)))</f>
        <v>2.4899999999999999E-2</v>
      </c>
      <c r="S30" s="54">
        <f ca="1">IF(ISERR($B30),$D30,_xll.RiskTriang($C30,$D30,#REF!,_xll.RiskStatic($D30)))</f>
        <v>2.4899999999999999E-2</v>
      </c>
      <c r="T30" s="54">
        <f ca="1">IF(ISERR($B30),$D30,_xll.RiskTriang($C30,$D30,#REF!,_xll.RiskStatic($D30)))</f>
        <v>2.4899999999999999E-2</v>
      </c>
      <c r="U30" s="54">
        <f ca="1">IF(ISERR($B30),$D30,_xll.RiskTriang($C30,$D30,#REF!,_xll.RiskStatic($D30)))</f>
        <v>2.4899999999999999E-2</v>
      </c>
      <c r="V30" s="54">
        <f ca="1">IF(ISERR($B30),$D30,_xll.RiskTriang($C30,$D30,#REF!,_xll.RiskStatic($D30)))</f>
        <v>2.4899999999999999E-2</v>
      </c>
      <c r="W30" s="54">
        <f ca="1">IF(ISERR($B30),$D30,_xll.RiskTriang($C30,$D30,#REF!,_xll.RiskStatic($D30)))</f>
        <v>2.4899999999999999E-2</v>
      </c>
      <c r="X30" s="54">
        <f ca="1">IF(ISERR($B30),$D30,_xll.RiskTriang($C30,$D30,#REF!,_xll.RiskStatic($D30)))</f>
        <v>2.4899999999999999E-2</v>
      </c>
      <c r="Y30" s="54">
        <f ca="1">IF(ISERR($B30),$D30,_xll.RiskTriang($C30,$D30,#REF!,_xll.RiskStatic($D30)))</f>
        <v>2.4899999999999999E-2</v>
      </c>
      <c r="Z30" s="54">
        <f ca="1">IF(ISERR($B30),$D30,_xll.RiskTriang($C30,$D30,#REF!,_xll.RiskStatic($D30)))</f>
        <v>2.4899999999999999E-2</v>
      </c>
      <c r="AA30" s="54">
        <f ca="1">IF(ISERR($B30),$D30,_xll.RiskTriang($C30,$D30,#REF!,_xll.RiskStatic($D30)))</f>
        <v>2.4899999999999999E-2</v>
      </c>
      <c r="AB30" s="54">
        <f ca="1">IF(ISERR($B30),$D30,_xll.RiskTriang($C30,$D30,#REF!,_xll.RiskStatic($D30)))</f>
        <v>2.4899999999999999E-2</v>
      </c>
      <c r="AC30" s="54">
        <f ca="1">IF(ISERR($B30),$D30,_xll.RiskTriang($C30,$D30,#REF!,_xll.RiskStatic($D30)))</f>
        <v>2.4899999999999999E-2</v>
      </c>
      <c r="AD30" s="54">
        <f ca="1">IF(ISERR($B30),$D30,_xll.RiskTriang($C30,$D30,#REF!,_xll.RiskStatic($D30)))</f>
        <v>2.4899999999999999E-2</v>
      </c>
    </row>
    <row r="31" spans="1:30" x14ac:dyDescent="0.25">
      <c r="A31" s="2" t="s">
        <v>4</v>
      </c>
      <c r="B31" s="56" t="e">
        <f ca="1">_xll.RiskTriang(C31,D31,#REF!,_xll.RiskStatic(D31))</f>
        <v>#NAME?</v>
      </c>
      <c r="C31" s="59"/>
      <c r="D31" s="102">
        <f t="shared" si="6"/>
        <v>2.4899999999999999E-2</v>
      </c>
      <c r="F31" s="93">
        <v>2.4899999999999999E-2</v>
      </c>
      <c r="J31" s="53">
        <f ca="1">IF(ISERR($B31),$D31,_xll.RiskTriang($C31,$D31,#REF!,_xll.RiskStatic($D31)))</f>
        <v>2.4899999999999999E-2</v>
      </c>
      <c r="K31" s="54">
        <f ca="1">IF(ISERR($B31),$D31,_xll.RiskTriang($C31,$D31,#REF!,_xll.RiskStatic($D31)))</f>
        <v>2.4899999999999999E-2</v>
      </c>
      <c r="L31" s="54">
        <f ca="1">IF(ISERR($B31),$D31,_xll.RiskTriang($C31,$D31,#REF!,_xll.RiskStatic($D31)))</f>
        <v>2.4899999999999999E-2</v>
      </c>
      <c r="M31" s="54">
        <f ca="1">IF(ISERR($B31),$D31,_xll.RiskTriang($C31,$D31,#REF!,_xll.RiskStatic($D31)))</f>
        <v>2.4899999999999999E-2</v>
      </c>
      <c r="N31" s="54">
        <f ca="1">IF(ISERR($B31),$D31,_xll.RiskTriang($C31,$D31,#REF!,_xll.RiskStatic($D31)))</f>
        <v>2.4899999999999999E-2</v>
      </c>
      <c r="O31" s="54">
        <f ca="1">IF(ISERR($B31),$D31,_xll.RiskTriang($C31,$D31,#REF!,_xll.RiskStatic($D31)))</f>
        <v>2.4899999999999999E-2</v>
      </c>
      <c r="P31" s="54">
        <f ca="1">IF(ISERR($B31),$D31,_xll.RiskTriang($C31,$D31,#REF!,_xll.RiskStatic($D31)))</f>
        <v>2.4899999999999999E-2</v>
      </c>
      <c r="Q31" s="54">
        <f ca="1">IF(ISERR($B31),$D31,_xll.RiskTriang($C31,$D31,#REF!,_xll.RiskStatic($D31)))</f>
        <v>2.4899999999999999E-2</v>
      </c>
      <c r="R31" s="54">
        <f ca="1">IF(ISERR($B31),$D31,_xll.RiskTriang($C31,$D31,#REF!,_xll.RiskStatic($D31)))</f>
        <v>2.4899999999999999E-2</v>
      </c>
      <c r="S31" s="54">
        <f ca="1">IF(ISERR($B31),$D31,_xll.RiskTriang($C31,$D31,#REF!,_xll.RiskStatic($D31)))</f>
        <v>2.4899999999999999E-2</v>
      </c>
      <c r="T31" s="54">
        <f ca="1">IF(ISERR($B31),$D31,_xll.RiskTriang($C31,$D31,#REF!,_xll.RiskStatic($D31)))</f>
        <v>2.4899999999999999E-2</v>
      </c>
      <c r="U31" s="54">
        <f ca="1">IF(ISERR($B31),$D31,_xll.RiskTriang($C31,$D31,#REF!,_xll.RiskStatic($D31)))</f>
        <v>2.4899999999999999E-2</v>
      </c>
      <c r="V31" s="54">
        <f ca="1">IF(ISERR($B31),$D31,_xll.RiskTriang($C31,$D31,#REF!,_xll.RiskStatic($D31)))</f>
        <v>2.4899999999999999E-2</v>
      </c>
      <c r="W31" s="54">
        <f ca="1">IF(ISERR($B31),$D31,_xll.RiskTriang($C31,$D31,#REF!,_xll.RiskStatic($D31)))</f>
        <v>2.4899999999999999E-2</v>
      </c>
      <c r="X31" s="54">
        <f ca="1">IF(ISERR($B31),$D31,_xll.RiskTriang($C31,$D31,#REF!,_xll.RiskStatic($D31)))</f>
        <v>2.4899999999999999E-2</v>
      </c>
      <c r="Y31" s="54">
        <f ca="1">IF(ISERR($B31),$D31,_xll.RiskTriang($C31,$D31,#REF!,_xll.RiskStatic($D31)))</f>
        <v>2.4899999999999999E-2</v>
      </c>
      <c r="Z31" s="54">
        <f ca="1">IF(ISERR($B31),$D31,_xll.RiskTriang($C31,$D31,#REF!,_xll.RiskStatic($D31)))</f>
        <v>2.4899999999999999E-2</v>
      </c>
      <c r="AA31" s="54">
        <f ca="1">IF(ISERR($B31),$D31,_xll.RiskTriang($C31,$D31,#REF!,_xll.RiskStatic($D31)))</f>
        <v>2.4899999999999999E-2</v>
      </c>
      <c r="AB31" s="54">
        <f ca="1">IF(ISERR($B31),$D31,_xll.RiskTriang($C31,$D31,#REF!,_xll.RiskStatic($D31)))</f>
        <v>2.4899999999999999E-2</v>
      </c>
      <c r="AC31" s="54">
        <f ca="1">IF(ISERR($B31),$D31,_xll.RiskTriang($C31,$D31,#REF!,_xll.RiskStatic($D31)))</f>
        <v>2.4899999999999999E-2</v>
      </c>
      <c r="AD31" s="54">
        <f ca="1">IF(ISERR($B31),$D31,_xll.RiskTriang($C31,$D31,#REF!,_xll.RiskStatic($D31)))</f>
        <v>2.4899999999999999E-2</v>
      </c>
    </row>
    <row r="32" spans="1:30" x14ac:dyDescent="0.25">
      <c r="A32" s="2" t="s">
        <v>73</v>
      </c>
      <c r="B32" s="56" t="e">
        <f ca="1">_xll.RiskTriang(C32,D32,#REF!,_xll.RiskStatic(D32))</f>
        <v>#NAME?</v>
      </c>
      <c r="C32" s="59"/>
      <c r="D32" s="102">
        <f t="shared" si="6"/>
        <v>2.4899999999999999E-2</v>
      </c>
      <c r="F32" s="93">
        <v>2.4899999999999999E-2</v>
      </c>
      <c r="J32" s="53">
        <f ca="1">IF(ISERR($B32),$D32,_xll.RiskTriang($C32,$D32,#REF!,_xll.RiskStatic($D32)))</f>
        <v>2.4899999999999999E-2</v>
      </c>
      <c r="K32" s="54">
        <f ca="1">IF(ISERR($B32),$D32,_xll.RiskTriang($C32,$D32,#REF!,_xll.RiskStatic($D32)))</f>
        <v>2.4899999999999999E-2</v>
      </c>
      <c r="L32" s="54">
        <f ca="1">IF(ISERR($B32),$D32,_xll.RiskTriang($C32,$D32,#REF!,_xll.RiskStatic($D32)))</f>
        <v>2.4899999999999999E-2</v>
      </c>
      <c r="M32" s="54">
        <f ca="1">IF(ISERR($B32),$D32,_xll.RiskTriang($C32,$D32,#REF!,_xll.RiskStatic($D32)))</f>
        <v>2.4899999999999999E-2</v>
      </c>
      <c r="N32" s="54">
        <f ca="1">IF(ISERR($B32),$D32,_xll.RiskTriang($C32,$D32,#REF!,_xll.RiskStatic($D32)))</f>
        <v>2.4899999999999999E-2</v>
      </c>
      <c r="O32" s="54">
        <f ca="1">IF(ISERR($B32),$D32,_xll.RiskTriang($C32,$D32,#REF!,_xll.RiskStatic($D32)))</f>
        <v>2.4899999999999999E-2</v>
      </c>
      <c r="P32" s="54">
        <f ca="1">IF(ISERR($B32),$D32,_xll.RiskTriang($C32,$D32,#REF!,_xll.RiskStatic($D32)))</f>
        <v>2.4899999999999999E-2</v>
      </c>
      <c r="Q32" s="54">
        <f ca="1">IF(ISERR($B32),$D32,_xll.RiskTriang($C32,$D32,#REF!,_xll.RiskStatic($D32)))</f>
        <v>2.4899999999999999E-2</v>
      </c>
      <c r="R32" s="54">
        <f ca="1">IF(ISERR($B32),$D32,_xll.RiskTriang($C32,$D32,#REF!,_xll.RiskStatic($D32)))</f>
        <v>2.4899999999999999E-2</v>
      </c>
      <c r="S32" s="54">
        <f ca="1">IF(ISERR($B32),$D32,_xll.RiskTriang($C32,$D32,#REF!,_xll.RiskStatic($D32)))</f>
        <v>2.4899999999999999E-2</v>
      </c>
      <c r="T32" s="54">
        <f ca="1">IF(ISERR($B32),$D32,_xll.RiskTriang($C32,$D32,#REF!,_xll.RiskStatic($D32)))</f>
        <v>2.4899999999999999E-2</v>
      </c>
      <c r="U32" s="54">
        <f ca="1">IF(ISERR($B32),$D32,_xll.RiskTriang($C32,$D32,#REF!,_xll.RiskStatic($D32)))</f>
        <v>2.4899999999999999E-2</v>
      </c>
      <c r="V32" s="54">
        <f ca="1">IF(ISERR($B32),$D32,_xll.RiskTriang($C32,$D32,#REF!,_xll.RiskStatic($D32)))</f>
        <v>2.4899999999999999E-2</v>
      </c>
      <c r="W32" s="54">
        <f ca="1">IF(ISERR($B32),$D32,_xll.RiskTriang($C32,$D32,#REF!,_xll.RiskStatic($D32)))</f>
        <v>2.4899999999999999E-2</v>
      </c>
      <c r="X32" s="54">
        <f ca="1">IF(ISERR($B32),$D32,_xll.RiskTriang($C32,$D32,#REF!,_xll.RiskStatic($D32)))</f>
        <v>2.4899999999999999E-2</v>
      </c>
      <c r="Y32" s="54">
        <f ca="1">IF(ISERR($B32),$D32,_xll.RiskTriang($C32,$D32,#REF!,_xll.RiskStatic($D32)))</f>
        <v>2.4899999999999999E-2</v>
      </c>
      <c r="Z32" s="54">
        <f ca="1">IF(ISERR($B32),$D32,_xll.RiskTriang($C32,$D32,#REF!,_xll.RiskStatic($D32)))</f>
        <v>2.4899999999999999E-2</v>
      </c>
      <c r="AA32" s="54">
        <f ca="1">IF(ISERR($B32),$D32,_xll.RiskTriang($C32,$D32,#REF!,_xll.RiskStatic($D32)))</f>
        <v>2.4899999999999999E-2</v>
      </c>
      <c r="AB32" s="54">
        <f ca="1">IF(ISERR($B32),$D32,_xll.RiskTriang($C32,$D32,#REF!,_xll.RiskStatic($D32)))</f>
        <v>2.4899999999999999E-2</v>
      </c>
      <c r="AC32" s="54">
        <f ca="1">IF(ISERR($B32),$D32,_xll.RiskTriang($C32,$D32,#REF!,_xll.RiskStatic($D32)))</f>
        <v>2.4899999999999999E-2</v>
      </c>
      <c r="AD32" s="54">
        <f ca="1">IF(ISERR($B32),$D32,_xll.RiskTriang($C32,$D32,#REF!,_xll.RiskStatic($D32)))</f>
        <v>2.4899999999999999E-2</v>
      </c>
    </row>
    <row r="33" spans="1:30" x14ac:dyDescent="0.25">
      <c r="A33" s="5" t="s">
        <v>2</v>
      </c>
      <c r="B33" s="56" t="e">
        <f ca="1">_xll.RiskTriang(C33,D33,#REF!,_xll.RiskStatic(D33))</f>
        <v>#NAME?</v>
      </c>
      <c r="C33" s="59"/>
      <c r="D33" s="102">
        <f t="shared" si="6"/>
        <v>0.05</v>
      </c>
      <c r="F33" s="93">
        <v>0.05</v>
      </c>
      <c r="J33" s="53">
        <f ca="1">IF(ISERR($B33),$D33,_xll.RiskTriang($C33,$D33,#REF!,_xll.RiskStatic($D33)))</f>
        <v>0.05</v>
      </c>
      <c r="K33" s="54">
        <f ca="1">IF(ISERR($B33),$D33,_xll.RiskTriang($C33,$D33,#REF!,_xll.RiskStatic($D33)))</f>
        <v>0.05</v>
      </c>
      <c r="L33" s="54">
        <f ca="1">IF(ISERR($B33),$D33,_xll.RiskTriang($C33,$D33,#REF!,_xll.RiskStatic($D33)))</f>
        <v>0.05</v>
      </c>
      <c r="M33" s="54">
        <f ca="1">IF(ISERR($B33),$D33,_xll.RiskTriang($C33,$D33,#REF!,_xll.RiskStatic($D33)))</f>
        <v>0.05</v>
      </c>
      <c r="N33" s="54">
        <f ca="1">IF(ISERR($B33),$D33,_xll.RiskTriang($C33,$D33,#REF!,_xll.RiskStatic($D33)))</f>
        <v>0.05</v>
      </c>
      <c r="O33" s="54">
        <f ca="1">IF(ISERR($B33),$D33,_xll.RiskTriang($C33,$D33,#REF!,_xll.RiskStatic($D33)))</f>
        <v>0.05</v>
      </c>
      <c r="P33" s="54">
        <f ca="1">IF(ISERR($B33),$D33,_xll.RiskTriang($C33,$D33,#REF!,_xll.RiskStatic($D33)))</f>
        <v>0.05</v>
      </c>
      <c r="Q33" s="54">
        <f ca="1">IF(ISERR($B33),$D33,_xll.RiskTriang($C33,$D33,#REF!,_xll.RiskStatic($D33)))</f>
        <v>0.05</v>
      </c>
      <c r="R33" s="54">
        <f ca="1">IF(ISERR($B33),$D33,_xll.RiskTriang($C33,$D33,#REF!,_xll.RiskStatic($D33)))</f>
        <v>0.05</v>
      </c>
      <c r="S33" s="54">
        <f ca="1">IF(ISERR($B33),$D33,_xll.RiskTriang($C33,$D33,#REF!,_xll.RiskStatic($D33)))</f>
        <v>0.05</v>
      </c>
      <c r="T33" s="54">
        <f ca="1">IF(ISERR($B33),$D33,_xll.RiskTriang($C33,$D33,#REF!,_xll.RiskStatic($D33)))</f>
        <v>0.05</v>
      </c>
      <c r="U33" s="54">
        <f ca="1">IF(ISERR($B33),$D33,_xll.RiskTriang($C33,$D33,#REF!,_xll.RiskStatic($D33)))</f>
        <v>0.05</v>
      </c>
      <c r="V33" s="54">
        <f ca="1">IF(ISERR($B33),$D33,_xll.RiskTriang($C33,$D33,#REF!,_xll.RiskStatic($D33)))</f>
        <v>0.05</v>
      </c>
      <c r="W33" s="54">
        <f ca="1">IF(ISERR($B33),$D33,_xll.RiskTriang($C33,$D33,#REF!,_xll.RiskStatic($D33)))</f>
        <v>0.05</v>
      </c>
      <c r="X33" s="54">
        <f ca="1">IF(ISERR($B33),$D33,_xll.RiskTriang($C33,$D33,#REF!,_xll.RiskStatic($D33)))</f>
        <v>0.05</v>
      </c>
      <c r="Y33" s="54">
        <f ca="1">IF(ISERR($B33),$D33,_xll.RiskTriang($C33,$D33,#REF!,_xll.RiskStatic($D33)))</f>
        <v>0.05</v>
      </c>
      <c r="Z33" s="54">
        <f ca="1">IF(ISERR($B33),$D33,_xll.RiskTriang($C33,$D33,#REF!,_xll.RiskStatic($D33)))</f>
        <v>0.05</v>
      </c>
      <c r="AA33" s="54">
        <f ca="1">IF(ISERR($B33),$D33,_xll.RiskTriang($C33,$D33,#REF!,_xll.RiskStatic($D33)))</f>
        <v>0.05</v>
      </c>
      <c r="AB33" s="54">
        <f ca="1">IF(ISERR($B33),$D33,_xll.RiskTriang($C33,$D33,#REF!,_xll.RiskStatic($D33)))</f>
        <v>0.05</v>
      </c>
      <c r="AC33" s="54">
        <f ca="1">IF(ISERR($B33),$D33,_xll.RiskTriang($C33,$D33,#REF!,_xll.RiskStatic($D33)))</f>
        <v>0.05</v>
      </c>
      <c r="AD33" s="54">
        <f ca="1">IF(ISERR($B33),$D33,_xll.RiskTriang($C33,$D33,#REF!,_xll.RiskStatic($D33)))</f>
        <v>0.05</v>
      </c>
    </row>
    <row r="34" spans="1:30" x14ac:dyDescent="0.25">
      <c r="A34" s="5" t="s">
        <v>6</v>
      </c>
      <c r="B34" s="56" t="e">
        <f ca="1">_xll.RiskTriang(C34,D34,#REF!,_xll.RiskStatic(D34))</f>
        <v>#NAME?</v>
      </c>
      <c r="C34" s="59"/>
      <c r="D34" s="102">
        <f t="shared" si="6"/>
        <v>4.8999999999999998E-3</v>
      </c>
      <c r="F34" s="93">
        <v>4.8999999999999998E-3</v>
      </c>
      <c r="J34" s="53">
        <f ca="1">IF(ISERR($B34),$D34,_xll.RiskTriang($C34,$D34,#REF!,_xll.RiskStatic($D34)))</f>
        <v>4.8999999999999998E-3</v>
      </c>
      <c r="K34" s="54">
        <f ca="1">IF(ISERR($B34),$D34,_xll.RiskTriang($C34,$D34,#REF!,_xll.RiskStatic($D34)))</f>
        <v>4.8999999999999998E-3</v>
      </c>
      <c r="L34" s="54">
        <f ca="1">IF(ISERR($B34),$D34,_xll.RiskTriang($C34,$D34,#REF!,_xll.RiskStatic($D34)))</f>
        <v>4.8999999999999998E-3</v>
      </c>
      <c r="M34" s="54">
        <f ca="1">IF(ISERR($B34),$D34,_xll.RiskTriang($C34,$D34,#REF!,_xll.RiskStatic($D34)))</f>
        <v>4.8999999999999998E-3</v>
      </c>
      <c r="N34" s="54">
        <f ca="1">IF(ISERR($B34),$D34,_xll.RiskTriang($C34,$D34,#REF!,_xll.RiskStatic($D34)))</f>
        <v>4.8999999999999998E-3</v>
      </c>
      <c r="O34" s="54">
        <f ca="1">IF(ISERR($B34),$D34,_xll.RiskTriang($C34,$D34,#REF!,_xll.RiskStatic($D34)))</f>
        <v>4.8999999999999998E-3</v>
      </c>
      <c r="P34" s="54">
        <f ca="1">IF(ISERR($B34),$D34,_xll.RiskTriang($C34,$D34,#REF!,_xll.RiskStatic($D34)))</f>
        <v>4.8999999999999998E-3</v>
      </c>
      <c r="Q34" s="54">
        <f ca="1">IF(ISERR($B34),$D34,_xll.RiskTriang($C34,$D34,#REF!,_xll.RiskStatic($D34)))</f>
        <v>4.8999999999999998E-3</v>
      </c>
      <c r="R34" s="54">
        <f ca="1">IF(ISERR($B34),$D34,_xll.RiskTriang($C34,$D34,#REF!,_xll.RiskStatic($D34)))</f>
        <v>4.8999999999999998E-3</v>
      </c>
      <c r="S34" s="54">
        <f ca="1">IF(ISERR($B34),$D34,_xll.RiskTriang($C34,$D34,#REF!,_xll.RiskStatic($D34)))</f>
        <v>4.8999999999999998E-3</v>
      </c>
      <c r="T34" s="54">
        <f ca="1">IF(ISERR($B34),$D34,_xll.RiskTriang($C34,$D34,#REF!,_xll.RiskStatic($D34)))</f>
        <v>4.8999999999999998E-3</v>
      </c>
      <c r="U34" s="54">
        <f ca="1">IF(ISERR($B34),$D34,_xll.RiskTriang($C34,$D34,#REF!,_xll.RiskStatic($D34)))</f>
        <v>4.8999999999999998E-3</v>
      </c>
      <c r="V34" s="54">
        <f ca="1">IF(ISERR($B34),$D34,_xll.RiskTriang($C34,$D34,#REF!,_xll.RiskStatic($D34)))</f>
        <v>4.8999999999999998E-3</v>
      </c>
      <c r="W34" s="54">
        <f ca="1">IF(ISERR($B34),$D34,_xll.RiskTriang($C34,$D34,#REF!,_xll.RiskStatic($D34)))</f>
        <v>4.8999999999999998E-3</v>
      </c>
      <c r="X34" s="54">
        <f ca="1">IF(ISERR($B34),$D34,_xll.RiskTriang($C34,$D34,#REF!,_xll.RiskStatic($D34)))</f>
        <v>4.8999999999999998E-3</v>
      </c>
      <c r="Y34" s="54">
        <f ca="1">IF(ISERR($B34),$D34,_xll.RiskTriang($C34,$D34,#REF!,_xll.RiskStatic($D34)))</f>
        <v>4.8999999999999998E-3</v>
      </c>
      <c r="Z34" s="54">
        <f ca="1">IF(ISERR($B34),$D34,_xll.RiskTriang($C34,$D34,#REF!,_xll.RiskStatic($D34)))</f>
        <v>4.8999999999999998E-3</v>
      </c>
      <c r="AA34" s="54">
        <f ca="1">IF(ISERR($B34),$D34,_xll.RiskTriang($C34,$D34,#REF!,_xll.RiskStatic($D34)))</f>
        <v>4.8999999999999998E-3</v>
      </c>
      <c r="AB34" s="54">
        <f ca="1">IF(ISERR($B34),$D34,_xll.RiskTriang($C34,$D34,#REF!,_xll.RiskStatic($D34)))</f>
        <v>4.8999999999999998E-3</v>
      </c>
      <c r="AC34" s="54">
        <f ca="1">IF(ISERR($B34),$D34,_xll.RiskTriang($C34,$D34,#REF!,_xll.RiskStatic($D34)))</f>
        <v>4.8999999999999998E-3</v>
      </c>
      <c r="AD34" s="54">
        <f ca="1">IF(ISERR($B34),$D34,_xll.RiskTriang($C34,$D34,#REF!,_xll.RiskStatic($D34)))</f>
        <v>4.8999999999999998E-3</v>
      </c>
    </row>
    <row r="35" spans="1:30" x14ac:dyDescent="0.25">
      <c r="A35" s="5" t="s">
        <v>5</v>
      </c>
      <c r="B35" s="56" t="e">
        <f ca="1">_xll.RiskTriang(C35,D35,#REF!,_xll.RiskStatic(D35))</f>
        <v>#NAME?</v>
      </c>
      <c r="C35" s="59"/>
      <c r="D35" s="102">
        <f t="shared" si="6"/>
        <v>4.8999999999999998E-3</v>
      </c>
      <c r="F35" s="93">
        <v>4.8999999999999998E-3</v>
      </c>
      <c r="J35" s="53">
        <f ca="1">IF(ISERR($B35),$D35,_xll.RiskTriang($C35,$D35,#REF!,_xll.RiskStatic($D35)))</f>
        <v>4.8999999999999998E-3</v>
      </c>
      <c r="K35" s="54">
        <f ca="1">IF(ISERR($B35),$D35,_xll.RiskTriang($C35,$D35,#REF!,_xll.RiskStatic($D35)))</f>
        <v>4.8999999999999998E-3</v>
      </c>
      <c r="L35" s="54">
        <f ca="1">IF(ISERR($B35),$D35,_xll.RiskTriang($C35,$D35,#REF!,_xll.RiskStatic($D35)))</f>
        <v>4.8999999999999998E-3</v>
      </c>
      <c r="M35" s="54">
        <f ca="1">IF(ISERR($B35),$D35,_xll.RiskTriang($C35,$D35,#REF!,_xll.RiskStatic($D35)))</f>
        <v>4.8999999999999998E-3</v>
      </c>
      <c r="N35" s="54">
        <f ca="1">IF(ISERR($B35),$D35,_xll.RiskTriang($C35,$D35,#REF!,_xll.RiskStatic($D35)))</f>
        <v>4.8999999999999998E-3</v>
      </c>
      <c r="O35" s="54">
        <f ca="1">IF(ISERR($B35),$D35,_xll.RiskTriang($C35,$D35,#REF!,_xll.RiskStatic($D35)))</f>
        <v>4.8999999999999998E-3</v>
      </c>
      <c r="P35" s="54">
        <f ca="1">IF(ISERR($B35),$D35,_xll.RiskTriang($C35,$D35,#REF!,_xll.RiskStatic($D35)))</f>
        <v>4.8999999999999998E-3</v>
      </c>
      <c r="Q35" s="54">
        <f ca="1">IF(ISERR($B35),$D35,_xll.RiskTriang($C35,$D35,#REF!,_xll.RiskStatic($D35)))</f>
        <v>4.8999999999999998E-3</v>
      </c>
      <c r="R35" s="54">
        <f ca="1">IF(ISERR($B35),$D35,_xll.RiskTriang($C35,$D35,#REF!,_xll.RiskStatic($D35)))</f>
        <v>4.8999999999999998E-3</v>
      </c>
      <c r="S35" s="54">
        <f ca="1">IF(ISERR($B35),$D35,_xll.RiskTriang($C35,$D35,#REF!,_xll.RiskStatic($D35)))</f>
        <v>4.8999999999999998E-3</v>
      </c>
      <c r="T35" s="54">
        <f ca="1">IF(ISERR($B35),$D35,_xll.RiskTriang($C35,$D35,#REF!,_xll.RiskStatic($D35)))</f>
        <v>4.8999999999999998E-3</v>
      </c>
      <c r="U35" s="54">
        <f ca="1">IF(ISERR($B35),$D35,_xll.RiskTriang($C35,$D35,#REF!,_xll.RiskStatic($D35)))</f>
        <v>4.8999999999999998E-3</v>
      </c>
      <c r="V35" s="54">
        <f ca="1">IF(ISERR($B35),$D35,_xll.RiskTriang($C35,$D35,#REF!,_xll.RiskStatic($D35)))</f>
        <v>4.8999999999999998E-3</v>
      </c>
      <c r="W35" s="54">
        <f ca="1">IF(ISERR($B35),$D35,_xll.RiskTriang($C35,$D35,#REF!,_xll.RiskStatic($D35)))</f>
        <v>4.8999999999999998E-3</v>
      </c>
      <c r="X35" s="54">
        <f ca="1">IF(ISERR($B35),$D35,_xll.RiskTriang($C35,$D35,#REF!,_xll.RiskStatic($D35)))</f>
        <v>4.8999999999999998E-3</v>
      </c>
      <c r="Y35" s="54">
        <f ca="1">IF(ISERR($B35),$D35,_xll.RiskTriang($C35,$D35,#REF!,_xll.RiskStatic($D35)))</f>
        <v>4.8999999999999998E-3</v>
      </c>
      <c r="Z35" s="54">
        <f ca="1">IF(ISERR($B35),$D35,_xll.RiskTriang($C35,$D35,#REF!,_xll.RiskStatic($D35)))</f>
        <v>4.8999999999999998E-3</v>
      </c>
      <c r="AA35" s="54">
        <f ca="1">IF(ISERR($B35),$D35,_xll.RiskTriang($C35,$D35,#REF!,_xll.RiskStatic($D35)))</f>
        <v>4.8999999999999998E-3</v>
      </c>
      <c r="AB35" s="54">
        <f ca="1">IF(ISERR($B35),$D35,_xll.RiskTriang($C35,$D35,#REF!,_xll.RiskStatic($D35)))</f>
        <v>4.8999999999999998E-3</v>
      </c>
      <c r="AC35" s="54">
        <f ca="1">IF(ISERR($B35),$D35,_xll.RiskTriang($C35,$D35,#REF!,_xll.RiskStatic($D35)))</f>
        <v>4.8999999999999998E-3</v>
      </c>
      <c r="AD35" s="54">
        <f ca="1">IF(ISERR($B35),$D35,_xll.RiskTriang($C35,$D35,#REF!,_xll.RiskStatic($D35)))</f>
        <v>4.8999999999999998E-3</v>
      </c>
    </row>
    <row r="36" spans="1:30" x14ac:dyDescent="0.25">
      <c r="A36" s="5" t="s">
        <v>1</v>
      </c>
      <c r="B36" s="57" t="e">
        <f ca="1">_xll.RiskTriang(C36,D36,#REF!,_xll.RiskStatic(D36))</f>
        <v>#NAME?</v>
      </c>
      <c r="C36" s="59"/>
      <c r="D36" s="102">
        <f t="shared" si="6"/>
        <v>0.05</v>
      </c>
      <c r="F36" s="93">
        <v>0.05</v>
      </c>
      <c r="J36" s="60">
        <f ca="1">IF(ISERR($B36),$D36,_xll.RiskTriang($C36,$D36,#REF!,_xll.RiskStatic($D36)))</f>
        <v>0.05</v>
      </c>
      <c r="K36" s="61">
        <f ca="1">IF(ISERR($B36),$D36,_xll.RiskTriang($C36,$D36,#REF!,_xll.RiskStatic($D36)))</f>
        <v>0.05</v>
      </c>
      <c r="L36" s="61">
        <f ca="1">IF(ISERR($B36),$D36,_xll.RiskTriang($C36,$D36,#REF!,_xll.RiskStatic($D36)))</f>
        <v>0.05</v>
      </c>
      <c r="M36" s="61">
        <f ca="1">IF(ISERR($B36),$D36,_xll.RiskTriang($C36,$D36,#REF!,_xll.RiskStatic($D36)))</f>
        <v>0.05</v>
      </c>
      <c r="N36" s="61">
        <f ca="1">IF(ISERR($B36),$D36,_xll.RiskTriang($C36,$D36,#REF!,_xll.RiskStatic($D36)))</f>
        <v>0.05</v>
      </c>
      <c r="O36" s="61">
        <f ca="1">IF(ISERR($B36),$D36,_xll.RiskTriang($C36,$D36,#REF!,_xll.RiskStatic($D36)))</f>
        <v>0.05</v>
      </c>
      <c r="P36" s="61">
        <f ca="1">IF(ISERR($B36),$D36,_xll.RiskTriang($C36,$D36,#REF!,_xll.RiskStatic($D36)))</f>
        <v>0.05</v>
      </c>
      <c r="Q36" s="61">
        <f ca="1">IF(ISERR($B36),$D36,_xll.RiskTriang($C36,$D36,#REF!,_xll.RiskStatic($D36)))</f>
        <v>0.05</v>
      </c>
      <c r="R36" s="61">
        <f ca="1">IF(ISERR($B36),$D36,_xll.RiskTriang($C36,$D36,#REF!,_xll.RiskStatic($D36)))</f>
        <v>0.05</v>
      </c>
      <c r="S36" s="61">
        <f ca="1">IF(ISERR($B36),$D36,_xll.RiskTriang($C36,$D36,#REF!,_xll.RiskStatic($D36)))</f>
        <v>0.05</v>
      </c>
      <c r="T36" s="61">
        <f ca="1">IF(ISERR($B36),$D36,_xll.RiskTriang($C36,$D36,#REF!,_xll.RiskStatic($D36)))</f>
        <v>0.05</v>
      </c>
      <c r="U36" s="61">
        <f ca="1">IF(ISERR($B36),$D36,_xll.RiskTriang($C36,$D36,#REF!,_xll.RiskStatic($D36)))</f>
        <v>0.05</v>
      </c>
      <c r="V36" s="61">
        <f ca="1">IF(ISERR($B36),$D36,_xll.RiskTriang($C36,$D36,#REF!,_xll.RiskStatic($D36)))</f>
        <v>0.05</v>
      </c>
      <c r="W36" s="61">
        <f ca="1">IF(ISERR($B36),$D36,_xll.RiskTriang($C36,$D36,#REF!,_xll.RiskStatic($D36)))</f>
        <v>0.05</v>
      </c>
      <c r="X36" s="61">
        <f ca="1">IF(ISERR($B36),$D36,_xll.RiskTriang($C36,$D36,#REF!,_xll.RiskStatic($D36)))</f>
        <v>0.05</v>
      </c>
      <c r="Y36" s="61">
        <f ca="1">IF(ISERR($B36),$D36,_xll.RiskTriang($C36,$D36,#REF!,_xll.RiskStatic($D36)))</f>
        <v>0.05</v>
      </c>
      <c r="Z36" s="61">
        <f ca="1">IF(ISERR($B36),$D36,_xll.RiskTriang($C36,$D36,#REF!,_xll.RiskStatic($D36)))</f>
        <v>0.05</v>
      </c>
      <c r="AA36" s="61">
        <f ca="1">IF(ISERR($B36),$D36,_xll.RiskTriang($C36,$D36,#REF!,_xll.RiskStatic($D36)))</f>
        <v>0.05</v>
      </c>
      <c r="AB36" s="61">
        <f ca="1">IF(ISERR($B36),$D36,_xll.RiskTriang($C36,$D36,#REF!,_xll.RiskStatic($D36)))</f>
        <v>0.05</v>
      </c>
      <c r="AC36" s="61">
        <f ca="1">IF(ISERR($B36),$D36,_xll.RiskTriang($C36,$D36,#REF!,_xll.RiskStatic($D36)))</f>
        <v>0.05</v>
      </c>
      <c r="AD36" s="61">
        <f ca="1">IF(ISERR($B36),$D36,_xll.RiskTriang($C36,$D36,#REF!,_xll.RiskStatic($D36)))</f>
        <v>0.05</v>
      </c>
    </row>
    <row r="37" spans="1:30" x14ac:dyDescent="0.25">
      <c r="D37" s="81"/>
      <c r="F37" s="89"/>
    </row>
    <row r="38" spans="1:30" ht="18.75" x14ac:dyDescent="0.3">
      <c r="A38" s="42" t="s">
        <v>72</v>
      </c>
      <c r="D38" s="81"/>
      <c r="F38" s="89"/>
    </row>
    <row r="39" spans="1:30" x14ac:dyDescent="0.25">
      <c r="A39" s="2" t="s">
        <v>12</v>
      </c>
      <c r="C39" s="59"/>
      <c r="D39" s="81">
        <f t="shared" ref="D39:D45" si="7">F39</f>
        <v>1</v>
      </c>
      <c r="E39" s="97"/>
      <c r="F39" s="94">
        <v>1</v>
      </c>
      <c r="J39" s="50">
        <f t="shared" ref="J39:S41" si="8">$D39</f>
        <v>1</v>
      </c>
      <c r="K39" s="52">
        <f t="shared" si="8"/>
        <v>1</v>
      </c>
      <c r="L39" s="52">
        <f t="shared" si="8"/>
        <v>1</v>
      </c>
      <c r="M39" s="52">
        <f t="shared" si="8"/>
        <v>1</v>
      </c>
      <c r="N39" s="52">
        <f t="shared" si="8"/>
        <v>1</v>
      </c>
      <c r="O39" s="52">
        <f t="shared" si="8"/>
        <v>1</v>
      </c>
      <c r="P39" s="52">
        <f t="shared" si="8"/>
        <v>1</v>
      </c>
      <c r="Q39" s="52">
        <f t="shared" si="8"/>
        <v>1</v>
      </c>
      <c r="R39" s="52">
        <f t="shared" si="8"/>
        <v>1</v>
      </c>
      <c r="S39" s="52">
        <f t="shared" si="8"/>
        <v>1</v>
      </c>
      <c r="T39" s="52">
        <f t="shared" ref="T39:AD41" si="9">$D39</f>
        <v>1</v>
      </c>
      <c r="U39" s="52">
        <f t="shared" si="9"/>
        <v>1</v>
      </c>
      <c r="V39" s="52">
        <f t="shared" si="9"/>
        <v>1</v>
      </c>
      <c r="W39" s="52">
        <f t="shared" si="9"/>
        <v>1</v>
      </c>
      <c r="X39" s="52">
        <f t="shared" si="9"/>
        <v>1</v>
      </c>
      <c r="Y39" s="52">
        <f t="shared" si="9"/>
        <v>1</v>
      </c>
      <c r="Z39" s="52">
        <f t="shared" si="9"/>
        <v>1</v>
      </c>
      <c r="AA39" s="52">
        <f t="shared" si="9"/>
        <v>1</v>
      </c>
      <c r="AB39" s="52">
        <f t="shared" si="9"/>
        <v>1</v>
      </c>
      <c r="AC39" s="52">
        <f t="shared" si="9"/>
        <v>1</v>
      </c>
      <c r="AD39" s="98">
        <f t="shared" si="9"/>
        <v>1</v>
      </c>
    </row>
    <row r="40" spans="1:30" x14ac:dyDescent="0.25">
      <c r="A40" s="5" t="s">
        <v>4</v>
      </c>
      <c r="C40" s="59"/>
      <c r="D40" s="81">
        <f t="shared" si="7"/>
        <v>0.75</v>
      </c>
      <c r="E40" s="97"/>
      <c r="F40" s="94">
        <v>0.75</v>
      </c>
      <c r="J40" s="53">
        <f t="shared" si="8"/>
        <v>0.75</v>
      </c>
      <c r="K40" s="54">
        <f t="shared" si="8"/>
        <v>0.75</v>
      </c>
      <c r="L40" s="54">
        <f t="shared" si="8"/>
        <v>0.75</v>
      </c>
      <c r="M40" s="54">
        <f t="shared" si="8"/>
        <v>0.75</v>
      </c>
      <c r="N40" s="54">
        <f t="shared" si="8"/>
        <v>0.75</v>
      </c>
      <c r="O40" s="54">
        <f t="shared" si="8"/>
        <v>0.75</v>
      </c>
      <c r="P40" s="54">
        <f t="shared" si="8"/>
        <v>0.75</v>
      </c>
      <c r="Q40" s="54">
        <f t="shared" si="8"/>
        <v>0.75</v>
      </c>
      <c r="R40" s="54">
        <f t="shared" si="8"/>
        <v>0.75</v>
      </c>
      <c r="S40" s="54">
        <f t="shared" si="8"/>
        <v>0.75</v>
      </c>
      <c r="T40" s="54">
        <f t="shared" si="9"/>
        <v>0.75</v>
      </c>
      <c r="U40" s="54">
        <f t="shared" si="9"/>
        <v>0.75</v>
      </c>
      <c r="V40" s="54">
        <f t="shared" si="9"/>
        <v>0.75</v>
      </c>
      <c r="W40" s="54">
        <f t="shared" si="9"/>
        <v>0.75</v>
      </c>
      <c r="X40" s="54">
        <f t="shared" si="9"/>
        <v>0.75</v>
      </c>
      <c r="Y40" s="54">
        <f t="shared" si="9"/>
        <v>0.75</v>
      </c>
      <c r="Z40" s="54">
        <f t="shared" si="9"/>
        <v>0.75</v>
      </c>
      <c r="AA40" s="54">
        <f t="shared" si="9"/>
        <v>0.75</v>
      </c>
      <c r="AB40" s="54">
        <f t="shared" si="9"/>
        <v>0.75</v>
      </c>
      <c r="AC40" s="54">
        <f t="shared" si="9"/>
        <v>0.75</v>
      </c>
      <c r="AD40" s="99">
        <f t="shared" si="9"/>
        <v>0.75</v>
      </c>
    </row>
    <row r="41" spans="1:30" x14ac:dyDescent="0.25">
      <c r="A41" s="5" t="s">
        <v>73</v>
      </c>
      <c r="C41" s="59"/>
      <c r="D41" s="81">
        <f t="shared" si="7"/>
        <v>0.75</v>
      </c>
      <c r="E41" s="97"/>
      <c r="F41" s="94">
        <v>0.75</v>
      </c>
      <c r="J41" s="53">
        <f t="shared" si="8"/>
        <v>0.75</v>
      </c>
      <c r="K41" s="54">
        <f t="shared" si="8"/>
        <v>0.75</v>
      </c>
      <c r="L41" s="54">
        <f t="shared" si="8"/>
        <v>0.75</v>
      </c>
      <c r="M41" s="54">
        <f t="shared" si="8"/>
        <v>0.75</v>
      </c>
      <c r="N41" s="54">
        <f t="shared" si="8"/>
        <v>0.75</v>
      </c>
      <c r="O41" s="54">
        <f t="shared" si="8"/>
        <v>0.75</v>
      </c>
      <c r="P41" s="54">
        <f t="shared" si="8"/>
        <v>0.75</v>
      </c>
      <c r="Q41" s="54">
        <f t="shared" si="8"/>
        <v>0.75</v>
      </c>
      <c r="R41" s="54">
        <f t="shared" si="8"/>
        <v>0.75</v>
      </c>
      <c r="S41" s="54">
        <f t="shared" si="8"/>
        <v>0.75</v>
      </c>
      <c r="T41" s="54">
        <f t="shared" si="9"/>
        <v>0.75</v>
      </c>
      <c r="U41" s="54">
        <f t="shared" si="9"/>
        <v>0.75</v>
      </c>
      <c r="V41" s="54">
        <f t="shared" si="9"/>
        <v>0.75</v>
      </c>
      <c r="W41" s="54">
        <f t="shared" si="9"/>
        <v>0.75</v>
      </c>
      <c r="X41" s="54">
        <f t="shared" si="9"/>
        <v>0.75</v>
      </c>
      <c r="Y41" s="54">
        <f t="shared" si="9"/>
        <v>0.75</v>
      </c>
      <c r="Z41" s="54">
        <f t="shared" si="9"/>
        <v>0.75</v>
      </c>
      <c r="AA41" s="54">
        <f t="shared" si="9"/>
        <v>0.75</v>
      </c>
      <c r="AB41" s="54">
        <f t="shared" si="9"/>
        <v>0.75</v>
      </c>
      <c r="AC41" s="54">
        <f t="shared" si="9"/>
        <v>0.75</v>
      </c>
      <c r="AD41" s="99">
        <f t="shared" si="9"/>
        <v>0.75</v>
      </c>
    </row>
    <row r="42" spans="1:30" x14ac:dyDescent="0.25">
      <c r="A42" s="5" t="s">
        <v>2</v>
      </c>
      <c r="D42" s="81">
        <f t="shared" si="7"/>
        <v>0.4</v>
      </c>
      <c r="E42" s="97"/>
      <c r="F42" s="94">
        <v>0.4</v>
      </c>
      <c r="J42" s="53">
        <f t="shared" ref="J42:AD42" si="10">$D42</f>
        <v>0.4</v>
      </c>
      <c r="K42" s="54">
        <f t="shared" si="10"/>
        <v>0.4</v>
      </c>
      <c r="L42" s="54">
        <f t="shared" si="10"/>
        <v>0.4</v>
      </c>
      <c r="M42" s="54">
        <f t="shared" si="10"/>
        <v>0.4</v>
      </c>
      <c r="N42" s="54">
        <f t="shared" si="10"/>
        <v>0.4</v>
      </c>
      <c r="O42" s="54">
        <f t="shared" si="10"/>
        <v>0.4</v>
      </c>
      <c r="P42" s="54">
        <f t="shared" si="10"/>
        <v>0.4</v>
      </c>
      <c r="Q42" s="54">
        <f t="shared" si="10"/>
        <v>0.4</v>
      </c>
      <c r="R42" s="54">
        <f t="shared" si="10"/>
        <v>0.4</v>
      </c>
      <c r="S42" s="54">
        <f t="shared" si="10"/>
        <v>0.4</v>
      </c>
      <c r="T42" s="54">
        <f t="shared" si="10"/>
        <v>0.4</v>
      </c>
      <c r="U42" s="54">
        <f t="shared" si="10"/>
        <v>0.4</v>
      </c>
      <c r="V42" s="54">
        <f t="shared" si="10"/>
        <v>0.4</v>
      </c>
      <c r="W42" s="54">
        <f t="shared" si="10"/>
        <v>0.4</v>
      </c>
      <c r="X42" s="54">
        <f t="shared" si="10"/>
        <v>0.4</v>
      </c>
      <c r="Y42" s="54">
        <f t="shared" si="10"/>
        <v>0.4</v>
      </c>
      <c r="Z42" s="54">
        <f t="shared" si="10"/>
        <v>0.4</v>
      </c>
      <c r="AA42" s="54">
        <f t="shared" si="10"/>
        <v>0.4</v>
      </c>
      <c r="AB42" s="54">
        <f t="shared" si="10"/>
        <v>0.4</v>
      </c>
      <c r="AC42" s="54">
        <f t="shared" si="10"/>
        <v>0.4</v>
      </c>
      <c r="AD42" s="99">
        <f t="shared" si="10"/>
        <v>0.4</v>
      </c>
    </row>
    <row r="43" spans="1:30" x14ac:dyDescent="0.25">
      <c r="A43" s="5" t="s">
        <v>6</v>
      </c>
      <c r="C43" s="59"/>
      <c r="D43" s="81">
        <f t="shared" si="7"/>
        <v>1</v>
      </c>
      <c r="E43" s="97"/>
      <c r="F43" s="94">
        <v>1</v>
      </c>
      <c r="J43" s="53">
        <f t="shared" ref="J43:S45" si="11">$D43</f>
        <v>1</v>
      </c>
      <c r="K43" s="54">
        <f t="shared" si="11"/>
        <v>1</v>
      </c>
      <c r="L43" s="54">
        <f t="shared" si="11"/>
        <v>1</v>
      </c>
      <c r="M43" s="54">
        <f t="shared" si="11"/>
        <v>1</v>
      </c>
      <c r="N43" s="54">
        <f t="shared" si="11"/>
        <v>1</v>
      </c>
      <c r="O43" s="54">
        <f t="shared" si="11"/>
        <v>1</v>
      </c>
      <c r="P43" s="54">
        <f t="shared" si="11"/>
        <v>1</v>
      </c>
      <c r="Q43" s="54">
        <f t="shared" si="11"/>
        <v>1</v>
      </c>
      <c r="R43" s="54">
        <f t="shared" si="11"/>
        <v>1</v>
      </c>
      <c r="S43" s="54">
        <f t="shared" si="11"/>
        <v>1</v>
      </c>
      <c r="T43" s="54">
        <f t="shared" ref="T43:AD45" si="12">$D43</f>
        <v>1</v>
      </c>
      <c r="U43" s="54">
        <f t="shared" si="12"/>
        <v>1</v>
      </c>
      <c r="V43" s="54">
        <f t="shared" si="12"/>
        <v>1</v>
      </c>
      <c r="W43" s="54">
        <f t="shared" si="12"/>
        <v>1</v>
      </c>
      <c r="X43" s="54">
        <f t="shared" si="12"/>
        <v>1</v>
      </c>
      <c r="Y43" s="54">
        <f t="shared" si="12"/>
        <v>1</v>
      </c>
      <c r="Z43" s="54">
        <f t="shared" si="12"/>
        <v>1</v>
      </c>
      <c r="AA43" s="54">
        <f t="shared" si="12"/>
        <v>1</v>
      </c>
      <c r="AB43" s="54">
        <f t="shared" si="12"/>
        <v>1</v>
      </c>
      <c r="AC43" s="54">
        <f t="shared" si="12"/>
        <v>1</v>
      </c>
      <c r="AD43" s="99">
        <f t="shared" si="12"/>
        <v>1</v>
      </c>
    </row>
    <row r="44" spans="1:30" x14ac:dyDescent="0.25">
      <c r="A44" s="5" t="s">
        <v>5</v>
      </c>
      <c r="C44" s="59"/>
      <c r="D44" s="81">
        <f t="shared" si="7"/>
        <v>0.4</v>
      </c>
      <c r="E44" s="97"/>
      <c r="F44" s="94">
        <v>0.4</v>
      </c>
      <c r="J44" s="53">
        <f t="shared" si="11"/>
        <v>0.4</v>
      </c>
      <c r="K44" s="54">
        <f t="shared" si="11"/>
        <v>0.4</v>
      </c>
      <c r="L44" s="54">
        <f t="shared" si="11"/>
        <v>0.4</v>
      </c>
      <c r="M44" s="54">
        <f t="shared" si="11"/>
        <v>0.4</v>
      </c>
      <c r="N44" s="54">
        <f t="shared" si="11"/>
        <v>0.4</v>
      </c>
      <c r="O44" s="54">
        <f t="shared" si="11"/>
        <v>0.4</v>
      </c>
      <c r="P44" s="54">
        <f t="shared" si="11"/>
        <v>0.4</v>
      </c>
      <c r="Q44" s="54">
        <f t="shared" si="11"/>
        <v>0.4</v>
      </c>
      <c r="R44" s="54">
        <f t="shared" si="11"/>
        <v>0.4</v>
      </c>
      <c r="S44" s="54">
        <f t="shared" si="11"/>
        <v>0.4</v>
      </c>
      <c r="T44" s="54">
        <f t="shared" si="12"/>
        <v>0.4</v>
      </c>
      <c r="U44" s="54">
        <f t="shared" si="12"/>
        <v>0.4</v>
      </c>
      <c r="V44" s="54">
        <f t="shared" si="12"/>
        <v>0.4</v>
      </c>
      <c r="W44" s="54">
        <f t="shared" si="12"/>
        <v>0.4</v>
      </c>
      <c r="X44" s="54">
        <f t="shared" si="12"/>
        <v>0.4</v>
      </c>
      <c r="Y44" s="54">
        <f t="shared" si="12"/>
        <v>0.4</v>
      </c>
      <c r="Z44" s="54">
        <f t="shared" si="12"/>
        <v>0.4</v>
      </c>
      <c r="AA44" s="54">
        <f t="shared" si="12"/>
        <v>0.4</v>
      </c>
      <c r="AB44" s="54">
        <f t="shared" si="12"/>
        <v>0.4</v>
      </c>
      <c r="AC44" s="54">
        <f t="shared" si="12"/>
        <v>0.4</v>
      </c>
      <c r="AD44" s="99">
        <f t="shared" si="12"/>
        <v>0.4</v>
      </c>
    </row>
    <row r="45" spans="1:30" x14ac:dyDescent="0.25">
      <c r="A45" s="5" t="s">
        <v>1</v>
      </c>
      <c r="C45" s="59"/>
      <c r="D45" s="81">
        <f t="shared" si="7"/>
        <v>0.4</v>
      </c>
      <c r="E45" s="97"/>
      <c r="F45" s="94">
        <v>0.4</v>
      </c>
      <c r="J45" s="60">
        <f t="shared" si="11"/>
        <v>0.4</v>
      </c>
      <c r="K45" s="61">
        <f t="shared" si="11"/>
        <v>0.4</v>
      </c>
      <c r="L45" s="61">
        <f t="shared" si="11"/>
        <v>0.4</v>
      </c>
      <c r="M45" s="61">
        <f t="shared" si="11"/>
        <v>0.4</v>
      </c>
      <c r="N45" s="61">
        <f t="shared" si="11"/>
        <v>0.4</v>
      </c>
      <c r="O45" s="61">
        <f t="shared" si="11"/>
        <v>0.4</v>
      </c>
      <c r="P45" s="61">
        <f t="shared" si="11"/>
        <v>0.4</v>
      </c>
      <c r="Q45" s="61">
        <f t="shared" si="11"/>
        <v>0.4</v>
      </c>
      <c r="R45" s="61">
        <f t="shared" si="11"/>
        <v>0.4</v>
      </c>
      <c r="S45" s="61">
        <f t="shared" si="11"/>
        <v>0.4</v>
      </c>
      <c r="T45" s="61">
        <f t="shared" si="12"/>
        <v>0.4</v>
      </c>
      <c r="U45" s="61">
        <f t="shared" si="12"/>
        <v>0.4</v>
      </c>
      <c r="V45" s="61">
        <f t="shared" si="12"/>
        <v>0.4</v>
      </c>
      <c r="W45" s="61">
        <f t="shared" si="12"/>
        <v>0.4</v>
      </c>
      <c r="X45" s="61">
        <f t="shared" si="12"/>
        <v>0.4</v>
      </c>
      <c r="Y45" s="61">
        <f t="shared" si="12"/>
        <v>0.4</v>
      </c>
      <c r="Z45" s="61">
        <f t="shared" si="12"/>
        <v>0.4</v>
      </c>
      <c r="AA45" s="61">
        <f t="shared" si="12"/>
        <v>0.4</v>
      </c>
      <c r="AB45" s="61">
        <f t="shared" si="12"/>
        <v>0.4</v>
      </c>
      <c r="AC45" s="61">
        <f t="shared" si="12"/>
        <v>0.4</v>
      </c>
      <c r="AD45" s="100">
        <f t="shared" si="12"/>
        <v>0.4</v>
      </c>
    </row>
    <row r="46" spans="1:30" x14ac:dyDescent="0.25">
      <c r="C46" s="59"/>
      <c r="D46" s="81"/>
      <c r="E46" s="97"/>
      <c r="F46" s="94"/>
    </row>
    <row r="47" spans="1:30" ht="18.75" x14ac:dyDescent="0.3">
      <c r="A47" s="58" t="s">
        <v>49</v>
      </c>
      <c r="D47" s="81"/>
      <c r="F47" s="89"/>
    </row>
    <row r="48" spans="1:30" x14ac:dyDescent="0.25">
      <c r="A48" s="2" t="s">
        <v>0</v>
      </c>
      <c r="C48" s="59"/>
      <c r="D48" s="81">
        <v>0.2</v>
      </c>
      <c r="F48" s="94">
        <v>0.1</v>
      </c>
      <c r="J48" s="62">
        <f t="shared" ref="J48:AD48" si="13">$D48</f>
        <v>0.2</v>
      </c>
      <c r="K48" s="63">
        <f t="shared" si="13"/>
        <v>0.2</v>
      </c>
      <c r="L48" s="63">
        <f t="shared" si="13"/>
        <v>0.2</v>
      </c>
      <c r="M48" s="63">
        <f t="shared" si="13"/>
        <v>0.2</v>
      </c>
      <c r="N48" s="63">
        <f t="shared" si="13"/>
        <v>0.2</v>
      </c>
      <c r="O48" s="63">
        <f t="shared" si="13"/>
        <v>0.2</v>
      </c>
      <c r="P48" s="63">
        <f t="shared" si="13"/>
        <v>0.2</v>
      </c>
      <c r="Q48" s="63">
        <f t="shared" si="13"/>
        <v>0.2</v>
      </c>
      <c r="R48" s="63">
        <f t="shared" si="13"/>
        <v>0.2</v>
      </c>
      <c r="S48" s="63">
        <f t="shared" si="13"/>
        <v>0.2</v>
      </c>
      <c r="T48" s="63">
        <f t="shared" si="13"/>
        <v>0.2</v>
      </c>
      <c r="U48" s="63">
        <f t="shared" si="13"/>
        <v>0.2</v>
      </c>
      <c r="V48" s="63">
        <f t="shared" si="13"/>
        <v>0.2</v>
      </c>
      <c r="W48" s="63">
        <f t="shared" si="13"/>
        <v>0.2</v>
      </c>
      <c r="X48" s="63">
        <f t="shared" si="13"/>
        <v>0.2</v>
      </c>
      <c r="Y48" s="63">
        <f t="shared" si="13"/>
        <v>0.2</v>
      </c>
      <c r="Z48" s="63">
        <f t="shared" si="13"/>
        <v>0.2</v>
      </c>
      <c r="AA48" s="63">
        <f t="shared" si="13"/>
        <v>0.2</v>
      </c>
      <c r="AB48" s="63">
        <f t="shared" si="13"/>
        <v>0.2</v>
      </c>
      <c r="AC48" s="63">
        <f t="shared" si="13"/>
        <v>0.2</v>
      </c>
      <c r="AD48" s="63">
        <f t="shared" si="13"/>
        <v>0.2</v>
      </c>
    </row>
    <row r="49" spans="1:30" x14ac:dyDescent="0.25">
      <c r="D49" s="80"/>
      <c r="F49" s="89"/>
    </row>
    <row r="50" spans="1:30" x14ac:dyDescent="0.25">
      <c r="D50" s="80"/>
      <c r="F50" s="89"/>
    </row>
    <row r="51" spans="1:30" ht="18.75" x14ac:dyDescent="0.3">
      <c r="A51" s="58" t="s">
        <v>48</v>
      </c>
      <c r="D51" s="80"/>
      <c r="F51" s="89"/>
    </row>
    <row r="52" spans="1:30" x14ac:dyDescent="0.25">
      <c r="A52" s="2" t="s">
        <v>0</v>
      </c>
      <c r="C52" s="20"/>
      <c r="D52" s="83">
        <v>0</v>
      </c>
      <c r="F52" s="95">
        <v>0</v>
      </c>
      <c r="J52" s="65">
        <f t="shared" ref="J52:S55" si="14">$D52</f>
        <v>0</v>
      </c>
      <c r="K52" s="66">
        <f t="shared" si="14"/>
        <v>0</v>
      </c>
      <c r="L52" s="66">
        <f t="shared" si="14"/>
        <v>0</v>
      </c>
      <c r="M52" s="66">
        <f t="shared" si="14"/>
        <v>0</v>
      </c>
      <c r="N52" s="66">
        <f t="shared" si="14"/>
        <v>0</v>
      </c>
      <c r="O52" s="66">
        <f t="shared" si="14"/>
        <v>0</v>
      </c>
      <c r="P52" s="66">
        <f t="shared" si="14"/>
        <v>0</v>
      </c>
      <c r="Q52" s="66">
        <f t="shared" si="14"/>
        <v>0</v>
      </c>
      <c r="R52" s="66">
        <f t="shared" si="14"/>
        <v>0</v>
      </c>
      <c r="S52" s="66">
        <f t="shared" si="14"/>
        <v>0</v>
      </c>
      <c r="T52" s="66">
        <f t="shared" ref="T52:AD55" si="15">$D52</f>
        <v>0</v>
      </c>
      <c r="U52" s="66">
        <f t="shared" si="15"/>
        <v>0</v>
      </c>
      <c r="V52" s="66">
        <f t="shared" si="15"/>
        <v>0</v>
      </c>
      <c r="W52" s="66">
        <f t="shared" si="15"/>
        <v>0</v>
      </c>
      <c r="X52" s="66">
        <f t="shared" si="15"/>
        <v>0</v>
      </c>
      <c r="Y52" s="66">
        <f t="shared" si="15"/>
        <v>0</v>
      </c>
      <c r="Z52" s="66">
        <f t="shared" si="15"/>
        <v>0</v>
      </c>
      <c r="AA52" s="66">
        <f t="shared" si="15"/>
        <v>0</v>
      </c>
      <c r="AB52" s="66">
        <f t="shared" si="15"/>
        <v>0</v>
      </c>
      <c r="AC52" s="66">
        <f t="shared" si="15"/>
        <v>0</v>
      </c>
      <c r="AD52" s="66">
        <f t="shared" si="15"/>
        <v>0</v>
      </c>
    </row>
    <row r="53" spans="1:30" x14ac:dyDescent="0.25">
      <c r="A53" s="2" t="s">
        <v>12</v>
      </c>
      <c r="C53" s="20"/>
      <c r="D53" s="83">
        <f>F53</f>
        <v>0</v>
      </c>
      <c r="F53" s="95">
        <v>0</v>
      </c>
      <c r="J53" s="67">
        <f t="shared" si="14"/>
        <v>0</v>
      </c>
      <c r="K53" s="68">
        <f t="shared" si="14"/>
        <v>0</v>
      </c>
      <c r="L53" s="68">
        <f t="shared" si="14"/>
        <v>0</v>
      </c>
      <c r="M53" s="68">
        <f t="shared" si="14"/>
        <v>0</v>
      </c>
      <c r="N53" s="68">
        <f t="shared" si="14"/>
        <v>0</v>
      </c>
      <c r="O53" s="68">
        <f t="shared" si="14"/>
        <v>0</v>
      </c>
      <c r="P53" s="68">
        <f t="shared" si="14"/>
        <v>0</v>
      </c>
      <c r="Q53" s="68">
        <f t="shared" si="14"/>
        <v>0</v>
      </c>
      <c r="R53" s="68">
        <f t="shared" si="14"/>
        <v>0</v>
      </c>
      <c r="S53" s="68">
        <f t="shared" si="14"/>
        <v>0</v>
      </c>
      <c r="T53" s="68">
        <f t="shared" si="15"/>
        <v>0</v>
      </c>
      <c r="U53" s="68">
        <f t="shared" si="15"/>
        <v>0</v>
      </c>
      <c r="V53" s="68">
        <f t="shared" si="15"/>
        <v>0</v>
      </c>
      <c r="W53" s="68">
        <f t="shared" si="15"/>
        <v>0</v>
      </c>
      <c r="X53" s="68">
        <f t="shared" si="15"/>
        <v>0</v>
      </c>
      <c r="Y53" s="68">
        <f t="shared" si="15"/>
        <v>0</v>
      </c>
      <c r="Z53" s="68">
        <f t="shared" si="15"/>
        <v>0</v>
      </c>
      <c r="AA53" s="68">
        <f t="shared" si="15"/>
        <v>0</v>
      </c>
      <c r="AB53" s="68">
        <f t="shared" si="15"/>
        <v>0</v>
      </c>
      <c r="AC53" s="68">
        <f t="shared" si="15"/>
        <v>0</v>
      </c>
      <c r="AD53" s="68">
        <f t="shared" si="15"/>
        <v>0</v>
      </c>
    </row>
    <row r="54" spans="1:30" x14ac:dyDescent="0.25">
      <c r="A54" s="2" t="s">
        <v>4</v>
      </c>
      <c r="C54" s="20"/>
      <c r="D54" s="83">
        <f>F54</f>
        <v>0</v>
      </c>
      <c r="F54" s="95">
        <v>0</v>
      </c>
      <c r="J54" s="67">
        <f t="shared" si="14"/>
        <v>0</v>
      </c>
      <c r="K54" s="68">
        <f t="shared" si="14"/>
        <v>0</v>
      </c>
      <c r="L54" s="68">
        <f t="shared" si="14"/>
        <v>0</v>
      </c>
      <c r="M54" s="68">
        <f t="shared" si="14"/>
        <v>0</v>
      </c>
      <c r="N54" s="68">
        <f t="shared" si="14"/>
        <v>0</v>
      </c>
      <c r="O54" s="68">
        <f t="shared" si="14"/>
        <v>0</v>
      </c>
      <c r="P54" s="68">
        <f t="shared" si="14"/>
        <v>0</v>
      </c>
      <c r="Q54" s="68">
        <f t="shared" si="14"/>
        <v>0</v>
      </c>
      <c r="R54" s="68">
        <f t="shared" si="14"/>
        <v>0</v>
      </c>
      <c r="S54" s="68">
        <f t="shared" si="14"/>
        <v>0</v>
      </c>
      <c r="T54" s="68">
        <f t="shared" si="15"/>
        <v>0</v>
      </c>
      <c r="U54" s="68">
        <f t="shared" si="15"/>
        <v>0</v>
      </c>
      <c r="V54" s="68">
        <f t="shared" si="15"/>
        <v>0</v>
      </c>
      <c r="W54" s="68">
        <f t="shared" si="15"/>
        <v>0</v>
      </c>
      <c r="X54" s="68">
        <f t="shared" si="15"/>
        <v>0</v>
      </c>
      <c r="Y54" s="68">
        <f t="shared" si="15"/>
        <v>0</v>
      </c>
      <c r="Z54" s="68">
        <f t="shared" si="15"/>
        <v>0</v>
      </c>
      <c r="AA54" s="68">
        <f t="shared" si="15"/>
        <v>0</v>
      </c>
      <c r="AB54" s="68">
        <f t="shared" si="15"/>
        <v>0</v>
      </c>
      <c r="AC54" s="68">
        <f t="shared" si="15"/>
        <v>0</v>
      </c>
      <c r="AD54" s="68">
        <f t="shared" si="15"/>
        <v>0</v>
      </c>
    </row>
    <row r="55" spans="1:30" ht="15.75" thickBot="1" x14ac:dyDescent="0.3">
      <c r="A55" s="2" t="s">
        <v>73</v>
      </c>
      <c r="C55" s="20"/>
      <c r="D55" s="84">
        <f>F55</f>
        <v>0</v>
      </c>
      <c r="F55" s="96">
        <v>0</v>
      </c>
      <c r="J55" s="69">
        <f t="shared" si="14"/>
        <v>0</v>
      </c>
      <c r="K55" s="70">
        <f t="shared" si="14"/>
        <v>0</v>
      </c>
      <c r="L55" s="70">
        <f t="shared" si="14"/>
        <v>0</v>
      </c>
      <c r="M55" s="70">
        <f t="shared" si="14"/>
        <v>0</v>
      </c>
      <c r="N55" s="70">
        <f t="shared" si="14"/>
        <v>0</v>
      </c>
      <c r="O55" s="70">
        <f t="shared" si="14"/>
        <v>0</v>
      </c>
      <c r="P55" s="70">
        <f t="shared" si="14"/>
        <v>0</v>
      </c>
      <c r="Q55" s="70">
        <f t="shared" si="14"/>
        <v>0</v>
      </c>
      <c r="R55" s="70">
        <f t="shared" si="14"/>
        <v>0</v>
      </c>
      <c r="S55" s="70">
        <f t="shared" si="14"/>
        <v>0</v>
      </c>
      <c r="T55" s="70">
        <f t="shared" si="15"/>
        <v>0</v>
      </c>
      <c r="U55" s="70">
        <f t="shared" si="15"/>
        <v>0</v>
      </c>
      <c r="V55" s="70">
        <f t="shared" si="15"/>
        <v>0</v>
      </c>
      <c r="W55" s="70">
        <f t="shared" si="15"/>
        <v>0</v>
      </c>
      <c r="X55" s="70">
        <f t="shared" si="15"/>
        <v>0</v>
      </c>
      <c r="Y55" s="70">
        <f t="shared" si="15"/>
        <v>0</v>
      </c>
      <c r="Z55" s="70">
        <f t="shared" si="15"/>
        <v>0</v>
      </c>
      <c r="AA55" s="70">
        <f t="shared" si="15"/>
        <v>0</v>
      </c>
      <c r="AB55" s="70">
        <f t="shared" si="15"/>
        <v>0</v>
      </c>
      <c r="AC55" s="70">
        <f t="shared" si="15"/>
        <v>0</v>
      </c>
      <c r="AD55" s="70">
        <f t="shared" si="15"/>
        <v>0</v>
      </c>
    </row>
    <row r="59" spans="1:30" ht="15.75" thickBot="1" x14ac:dyDescent="0.3">
      <c r="A59" t="s">
        <v>110</v>
      </c>
      <c r="J59" s="159">
        <v>9</v>
      </c>
      <c r="K59" s="160">
        <v>10</v>
      </c>
      <c r="L59" s="160">
        <v>11</v>
      </c>
      <c r="M59" s="160">
        <v>12</v>
      </c>
      <c r="N59" s="160">
        <v>13</v>
      </c>
      <c r="O59" s="160">
        <v>14</v>
      </c>
      <c r="P59" s="160">
        <v>15</v>
      </c>
      <c r="Q59" s="160">
        <v>16</v>
      </c>
      <c r="R59" s="160">
        <v>17</v>
      </c>
      <c r="S59" s="160">
        <v>18</v>
      </c>
      <c r="T59" s="160">
        <v>19</v>
      </c>
      <c r="U59" s="160">
        <v>20</v>
      </c>
      <c r="V59" s="160">
        <v>21</v>
      </c>
      <c r="W59" s="160">
        <v>22</v>
      </c>
      <c r="X59" s="160">
        <v>23</v>
      </c>
      <c r="Y59" s="160">
        <v>24</v>
      </c>
      <c r="Z59" s="160">
        <v>25</v>
      </c>
      <c r="AA59" s="160">
        <v>26</v>
      </c>
      <c r="AB59" s="160">
        <v>27</v>
      </c>
      <c r="AC59" s="160">
        <v>28</v>
      </c>
    </row>
    <row r="60" spans="1:30" x14ac:dyDescent="0.25">
      <c r="A60" s="1" t="s">
        <v>21</v>
      </c>
      <c r="D60" s="158" t="s">
        <v>122</v>
      </c>
    </row>
    <row r="61" spans="1:30" x14ac:dyDescent="0.25">
      <c r="A61" s="155"/>
      <c r="B61" s="12" t="s">
        <v>124</v>
      </c>
      <c r="D61" s="156">
        <f>AC61/I61-1</f>
        <v>0</v>
      </c>
      <c r="I61" s="6">
        <v>185569</v>
      </c>
      <c r="J61" s="6">
        <v>185569</v>
      </c>
      <c r="K61" s="6">
        <v>185569</v>
      </c>
      <c r="L61" s="6">
        <v>185569</v>
      </c>
      <c r="M61" s="6">
        <v>185569</v>
      </c>
      <c r="N61" s="6">
        <v>185569</v>
      </c>
      <c r="O61" s="6">
        <v>185569</v>
      </c>
      <c r="P61" s="6">
        <v>185569</v>
      </c>
      <c r="Q61" s="6">
        <v>185569</v>
      </c>
      <c r="R61" s="6">
        <v>185569</v>
      </c>
      <c r="S61" s="6">
        <v>185569</v>
      </c>
      <c r="T61" s="6">
        <v>185569</v>
      </c>
      <c r="U61" s="6">
        <v>185569</v>
      </c>
      <c r="V61" s="6">
        <v>185569</v>
      </c>
      <c r="W61" s="6">
        <v>185569</v>
      </c>
      <c r="X61" s="6">
        <v>185569</v>
      </c>
      <c r="Y61" s="6">
        <v>185569</v>
      </c>
      <c r="Z61" s="6">
        <v>185569</v>
      </c>
      <c r="AA61" s="6">
        <v>185569</v>
      </c>
      <c r="AB61" s="6">
        <v>185569</v>
      </c>
      <c r="AC61" s="6">
        <v>185569</v>
      </c>
    </row>
    <row r="62" spans="1:30" x14ac:dyDescent="0.25">
      <c r="A62" s="155"/>
      <c r="B62" s="12" t="s">
        <v>100</v>
      </c>
      <c r="D62" s="156">
        <f>AC62/I62-1</f>
        <v>8.0638468709752109E-2</v>
      </c>
      <c r="I62" s="6">
        <v>185569</v>
      </c>
      <c r="J62" s="6">
        <v>185569</v>
      </c>
      <c r="K62" s="6">
        <v>185569</v>
      </c>
      <c r="L62" s="6">
        <v>187150</v>
      </c>
      <c r="M62" s="6">
        <v>188460</v>
      </c>
      <c r="N62" s="6">
        <v>188460</v>
      </c>
      <c r="O62" s="6">
        <v>188460</v>
      </c>
      <c r="P62" s="6">
        <v>191605</v>
      </c>
      <c r="Q62" s="6">
        <v>191605</v>
      </c>
      <c r="R62" s="6">
        <v>193186</v>
      </c>
      <c r="S62" s="6">
        <v>193186</v>
      </c>
      <c r="T62" s="6">
        <v>193186</v>
      </c>
      <c r="U62" s="6">
        <v>194496</v>
      </c>
      <c r="V62" s="6">
        <v>194496</v>
      </c>
      <c r="W62" s="6">
        <v>196077</v>
      </c>
      <c r="X62" s="6">
        <v>196077</v>
      </c>
      <c r="Y62" s="6">
        <v>196077</v>
      </c>
      <c r="Z62" s="6">
        <v>198969</v>
      </c>
      <c r="AA62" s="6">
        <v>200533</v>
      </c>
      <c r="AB62" s="6">
        <v>200533</v>
      </c>
      <c r="AC62" s="6">
        <v>200533</v>
      </c>
    </row>
    <row r="63" spans="1:30" x14ac:dyDescent="0.25">
      <c r="A63" s="155"/>
      <c r="B63" s="12" t="s">
        <v>102</v>
      </c>
      <c r="D63" s="156">
        <f t="shared" ref="D63:D65" si="16">AC63/I63-1</f>
        <v>0.39216140626936613</v>
      </c>
      <c r="I63" s="6">
        <v>185569</v>
      </c>
      <c r="J63" s="6">
        <v>187150</v>
      </c>
      <c r="K63" s="6">
        <v>191622</v>
      </c>
      <c r="L63" s="6">
        <v>198969</v>
      </c>
      <c r="M63" s="6">
        <v>203677</v>
      </c>
      <c r="N63" s="6">
        <v>208150</v>
      </c>
      <c r="O63" s="6">
        <v>211312</v>
      </c>
      <c r="P63" s="6">
        <v>215767</v>
      </c>
      <c r="Q63" s="6">
        <v>218929</v>
      </c>
      <c r="R63" s="6">
        <v>220239</v>
      </c>
      <c r="S63" s="6">
        <v>223384</v>
      </c>
      <c r="T63" s="6">
        <v>224965</v>
      </c>
      <c r="U63" s="6">
        <v>231001</v>
      </c>
      <c r="V63" s="6">
        <v>232582</v>
      </c>
      <c r="W63" s="6">
        <v>235744</v>
      </c>
      <c r="X63" s="6">
        <v>238635</v>
      </c>
      <c r="Y63" s="6">
        <v>243108</v>
      </c>
      <c r="Z63" s="6">
        <v>246252</v>
      </c>
      <c r="AA63" s="6">
        <v>252306</v>
      </c>
      <c r="AB63" s="6">
        <v>255450</v>
      </c>
      <c r="AC63" s="6">
        <v>258342</v>
      </c>
    </row>
    <row r="64" spans="1:30" ht="15.75" thickBot="1" x14ac:dyDescent="0.3">
      <c r="A64" s="155"/>
      <c r="B64" s="12" t="s">
        <v>103</v>
      </c>
      <c r="D64" s="157">
        <f t="shared" ref="D64" si="17">AC64/I64-1</f>
        <v>0.64173434140400598</v>
      </c>
      <c r="I64" s="6">
        <v>185569</v>
      </c>
      <c r="J64" s="6">
        <v>200785</v>
      </c>
      <c r="K64" s="6">
        <v>223924</v>
      </c>
      <c r="L64" s="6">
        <v>240739</v>
      </c>
      <c r="M64" s="6">
        <v>245482</v>
      </c>
      <c r="N64" s="6">
        <v>248374</v>
      </c>
      <c r="O64" s="6">
        <v>251536</v>
      </c>
      <c r="P64" s="6">
        <v>258883</v>
      </c>
      <c r="Q64" s="6">
        <v>260464</v>
      </c>
      <c r="R64" s="6">
        <v>264936</v>
      </c>
      <c r="S64" s="6">
        <v>266517</v>
      </c>
      <c r="T64" s="6">
        <v>269679</v>
      </c>
      <c r="U64" s="6">
        <v>272571</v>
      </c>
      <c r="V64" s="6">
        <v>277296</v>
      </c>
      <c r="W64" s="6">
        <v>283350</v>
      </c>
      <c r="X64" s="6">
        <v>284931</v>
      </c>
      <c r="Y64" s="6">
        <v>287823</v>
      </c>
      <c r="Z64" s="6">
        <v>295440</v>
      </c>
      <c r="AA64" s="6">
        <v>298602</v>
      </c>
      <c r="AB64" s="6">
        <v>303074</v>
      </c>
      <c r="AC64" s="6">
        <v>304655</v>
      </c>
    </row>
    <row r="65" spans="1:29" ht="15.75" thickBot="1" x14ac:dyDescent="0.3">
      <c r="A65" s="155"/>
      <c r="B65" s="12" t="s">
        <v>134</v>
      </c>
      <c r="D65" s="157">
        <f t="shared" si="16"/>
        <v>0.64173434140400598</v>
      </c>
      <c r="I65" s="6">
        <v>185569</v>
      </c>
      <c r="J65" s="6">
        <v>200785</v>
      </c>
      <c r="K65" s="6">
        <v>223924</v>
      </c>
      <c r="L65" s="6">
        <v>240739</v>
      </c>
      <c r="M65" s="6">
        <v>245482</v>
      </c>
      <c r="N65" s="6">
        <v>248374</v>
      </c>
      <c r="O65" s="6">
        <v>251536</v>
      </c>
      <c r="P65" s="6">
        <v>258883</v>
      </c>
      <c r="Q65" s="6">
        <v>260464</v>
      </c>
      <c r="R65" s="6">
        <v>264936</v>
      </c>
      <c r="S65" s="6">
        <v>266517</v>
      </c>
      <c r="T65" s="6">
        <v>269679</v>
      </c>
      <c r="U65" s="6">
        <v>272571</v>
      </c>
      <c r="V65" s="6">
        <v>277296</v>
      </c>
      <c r="W65" s="6">
        <v>283350</v>
      </c>
      <c r="X65" s="6">
        <v>284931</v>
      </c>
      <c r="Y65" s="6">
        <v>287823</v>
      </c>
      <c r="Z65" s="6">
        <v>295440</v>
      </c>
      <c r="AA65" s="6">
        <v>298602</v>
      </c>
      <c r="AB65" s="6">
        <v>303074</v>
      </c>
      <c r="AC65" s="6">
        <v>304655</v>
      </c>
    </row>
    <row r="66" spans="1:29" x14ac:dyDescent="0.25">
      <c r="A66" s="1" t="s">
        <v>105</v>
      </c>
    </row>
    <row r="67" spans="1:29" x14ac:dyDescent="0.25">
      <c r="A67" s="155"/>
      <c r="B67" s="12" t="s">
        <v>124</v>
      </c>
      <c r="I67" s="6">
        <f>I61-'I-O 5.65'!$C$37-'I-O 5.65'!$C$38</f>
        <v>129405</v>
      </c>
      <c r="J67" s="6">
        <f>J61-'I-O 5.65'!$C$37-'I-O 5.65'!$C$38</f>
        <v>129405</v>
      </c>
      <c r="K67" s="6">
        <f>K61-'I-O 5.65'!$C$37-'I-O 5.65'!$C$38</f>
        <v>129405</v>
      </c>
      <c r="L67" s="6">
        <f>L61-'I-O 5.65'!$C$37-'I-O 5.65'!$C$38</f>
        <v>129405</v>
      </c>
      <c r="M67" s="6">
        <f>M61-'I-O 5.65'!$C$37-'I-O 5.65'!$C$38</f>
        <v>129405</v>
      </c>
      <c r="N67" s="6">
        <f>N61-'I-O 5.65'!$C$37-'I-O 5.65'!$C$38</f>
        <v>129405</v>
      </c>
      <c r="O67" s="6">
        <f>O61-'I-O 5.65'!$C$37-'I-O 5.65'!$C$38</f>
        <v>129405</v>
      </c>
      <c r="P67" s="6">
        <f>P61-'I-O 5.65'!$C$37-'I-O 5.65'!$C$38</f>
        <v>129405</v>
      </c>
      <c r="Q67" s="6">
        <f>Q61-'I-O 5.65'!$C$37-'I-O 5.65'!$C$38</f>
        <v>129405</v>
      </c>
      <c r="R67" s="6">
        <f>R61-'I-O 5.65'!$C$37-'I-O 5.65'!$C$38</f>
        <v>129405</v>
      </c>
      <c r="S67" s="6">
        <f>S61-'I-O 5.65'!$C$37-'I-O 5.65'!$C$38</f>
        <v>129405</v>
      </c>
      <c r="T67" s="6">
        <f>T61-'I-O 5.65'!$C$37-'I-O 5.65'!$C$38</f>
        <v>129405</v>
      </c>
      <c r="U67" s="6">
        <f>U61-'I-O 5.65'!$C$37-'I-O 5.65'!$C$38</f>
        <v>129405</v>
      </c>
      <c r="V67" s="6">
        <f>V61-'I-O 5.65'!$C$37-'I-O 5.65'!$C$38</f>
        <v>129405</v>
      </c>
      <c r="W67" s="6">
        <f>W61-'I-O 5.65'!$C$37-'I-O 5.65'!$C$38</f>
        <v>129405</v>
      </c>
      <c r="X67" s="6">
        <f>X61-'I-O 5.65'!$C$37-'I-O 5.65'!$C$38</f>
        <v>129405</v>
      </c>
      <c r="Y67" s="6">
        <f>Y61-'I-O 5.65'!$C$37-'I-O 5.65'!$C$38</f>
        <v>129405</v>
      </c>
      <c r="Z67" s="6">
        <f>Z61-'I-O 5.65'!$C$37-'I-O 5.65'!$C$38</f>
        <v>129405</v>
      </c>
      <c r="AA67" s="6">
        <f>AA61-'I-O 5.65'!$C$37-'I-O 5.65'!$C$38</f>
        <v>129405</v>
      </c>
      <c r="AB67" s="6">
        <f>AB61-'I-O 5.65'!$C$37-'I-O 5.65'!$C$38</f>
        <v>129405</v>
      </c>
      <c r="AC67" s="6">
        <f>AC61-'I-O 5.65'!$C$37-'I-O 5.65'!$C$38</f>
        <v>129405</v>
      </c>
    </row>
    <row r="68" spans="1:29" x14ac:dyDescent="0.25">
      <c r="A68" s="155"/>
      <c r="B68" s="12" t="s">
        <v>100</v>
      </c>
      <c r="I68" s="6">
        <f>I62-'I-O 5.65'!$C$37-'I-O 5.65'!$C$38</f>
        <v>129405</v>
      </c>
      <c r="J68" s="6">
        <f>J62-'I-O 5.65'!$C$37-'I-O 5.65'!$C$38</f>
        <v>129405</v>
      </c>
      <c r="K68" s="6">
        <f>K62-'I-O 5.65'!$C$37-'I-O 5.65'!$C$38</f>
        <v>129405</v>
      </c>
      <c r="L68" s="6">
        <f>L62-'I-O 5.65'!$C$37-'I-O 5.65'!$C$38</f>
        <v>130986</v>
      </c>
      <c r="M68" s="6">
        <f>M62-'I-O 5.65'!$C$37-'I-O 5.65'!$C$38</f>
        <v>132296</v>
      </c>
      <c r="N68" s="6">
        <f>N62-'I-O 5.65'!$C$37-'I-O 5.65'!$C$38</f>
        <v>132296</v>
      </c>
      <c r="O68" s="6">
        <f>O62-'I-O 5.65'!$C$37-'I-O 5.65'!$C$38</f>
        <v>132296</v>
      </c>
      <c r="P68" s="6">
        <f>P62-'I-O 5.65'!$C$37-'I-O 5.65'!$C$38</f>
        <v>135441</v>
      </c>
      <c r="Q68" s="6">
        <f>Q62-'I-O 5.65'!$C$37-'I-O 5.65'!$C$38</f>
        <v>135441</v>
      </c>
      <c r="R68" s="6">
        <f>R62-'I-O 5.65'!$C$37-'I-O 5.65'!$C$38</f>
        <v>137022</v>
      </c>
      <c r="S68" s="6">
        <f>S62-'I-O 5.65'!$C$37-'I-O 5.65'!$C$38</f>
        <v>137022</v>
      </c>
      <c r="T68" s="6">
        <f>T62-'I-O 5.65'!$C$37-'I-O 5.65'!$C$38</f>
        <v>137022</v>
      </c>
      <c r="U68" s="6">
        <f>U62-'I-O 5.65'!$C$37-'I-O 5.65'!$C$38</f>
        <v>138332</v>
      </c>
      <c r="V68" s="6">
        <f>V62-'I-O 5.65'!$C$37-'I-O 5.65'!$C$38</f>
        <v>138332</v>
      </c>
      <c r="W68" s="6">
        <f>W62-'I-O 5.65'!$C$37-'I-O 5.65'!$C$38</f>
        <v>139913</v>
      </c>
      <c r="X68" s="6">
        <f>X62-'I-O 5.65'!$C$37-'I-O 5.65'!$C$38</f>
        <v>139913</v>
      </c>
      <c r="Y68" s="6">
        <f>Y62-'I-O 5.65'!$C$37-'I-O 5.65'!$C$38</f>
        <v>139913</v>
      </c>
      <c r="Z68" s="6">
        <f>Z62-'I-O 5.65'!$C$37-'I-O 5.65'!$C$38</f>
        <v>142805</v>
      </c>
      <c r="AA68" s="6">
        <f>AA62-'I-O 5.65'!$C$37-'I-O 5.65'!$C$38</f>
        <v>144369</v>
      </c>
      <c r="AB68" s="6">
        <f>AB62-'I-O 5.65'!$C$37-'I-O 5.65'!$C$38</f>
        <v>144369</v>
      </c>
      <c r="AC68" s="6">
        <f>AC62-'I-O 5.65'!$C$37-'I-O 5.65'!$C$38</f>
        <v>144369</v>
      </c>
    </row>
    <row r="69" spans="1:29" x14ac:dyDescent="0.25">
      <c r="A69" s="155"/>
      <c r="B69" s="12" t="s">
        <v>102</v>
      </c>
      <c r="I69" s="6">
        <f>I63-'I-O 5.65'!$C$37-'I-O 5.65'!$C$38</f>
        <v>129405</v>
      </c>
      <c r="J69" s="6">
        <f>J63-'I-O 5.65'!$C$37-'I-O 5.65'!$C$38</f>
        <v>130986</v>
      </c>
      <c r="K69" s="6">
        <f>K63-'I-O 5.65'!$C$37-'I-O 5.65'!$C$38</f>
        <v>135458</v>
      </c>
      <c r="L69" s="6">
        <f>L63-'I-O 5.65'!$C$37-'I-O 5.65'!$C$38</f>
        <v>142805</v>
      </c>
      <c r="M69" s="6">
        <f>M63-'I-O 5.65'!$C$37-'I-O 5.65'!$C$38</f>
        <v>147513</v>
      </c>
      <c r="N69" s="6">
        <f>N63-'I-O 5.65'!$C$37-'I-O 5.65'!$C$38</f>
        <v>151986</v>
      </c>
      <c r="O69" s="6">
        <f>O63-'I-O 5.65'!$C$37-'I-O 5.65'!$C$38</f>
        <v>155148</v>
      </c>
      <c r="P69" s="6">
        <f>P63-'I-O 5.65'!$C$37-'I-O 5.65'!$C$38</f>
        <v>159603</v>
      </c>
      <c r="Q69" s="6">
        <f>Q63-'I-O 5.65'!$C$37-'I-O 5.65'!$C$38</f>
        <v>162765</v>
      </c>
      <c r="R69" s="6">
        <f>R63-'I-O 5.65'!$C$37-'I-O 5.65'!$C$38</f>
        <v>164075</v>
      </c>
      <c r="S69" s="6">
        <f>S63-'I-O 5.65'!$C$37-'I-O 5.65'!$C$38</f>
        <v>167220</v>
      </c>
      <c r="T69" s="6">
        <f>T63-'I-O 5.65'!$C$37-'I-O 5.65'!$C$38</f>
        <v>168801</v>
      </c>
      <c r="U69" s="6">
        <f>U63-'I-O 5.65'!$C$37-'I-O 5.65'!$C$38</f>
        <v>174837</v>
      </c>
      <c r="V69" s="6">
        <f>V63-'I-O 5.65'!$C$37-'I-O 5.65'!$C$38</f>
        <v>176418</v>
      </c>
      <c r="W69" s="6">
        <f>W63-'I-O 5.65'!$C$37-'I-O 5.65'!$C$38</f>
        <v>179580</v>
      </c>
      <c r="X69" s="6">
        <f>X63-'I-O 5.65'!$C$37-'I-O 5.65'!$C$38</f>
        <v>182471</v>
      </c>
      <c r="Y69" s="6">
        <f>Y63-'I-O 5.65'!$C$37-'I-O 5.65'!$C$38</f>
        <v>186944</v>
      </c>
      <c r="Z69" s="6">
        <f>Z63-'I-O 5.65'!$C$37-'I-O 5.65'!$C$38</f>
        <v>190088</v>
      </c>
      <c r="AA69" s="6">
        <f>AA63-'I-O 5.65'!$C$37-'I-O 5.65'!$C$38</f>
        <v>196142</v>
      </c>
      <c r="AB69" s="6">
        <f>AB63-'I-O 5.65'!$C$37-'I-O 5.65'!$C$38</f>
        <v>199286</v>
      </c>
      <c r="AC69" s="6">
        <f>AC63-'I-O 5.65'!$C$37-'I-O 5.65'!$C$38</f>
        <v>202178</v>
      </c>
    </row>
    <row r="70" spans="1:29" x14ac:dyDescent="0.25">
      <c r="A70" s="155"/>
      <c r="B70" s="12" t="s">
        <v>103</v>
      </c>
      <c r="I70" s="6">
        <f>I64-'I-O 5.65'!$C$37-'I-O 5.65'!$C$38</f>
        <v>129405</v>
      </c>
      <c r="J70" s="6">
        <f>J64-'I-O 5.65'!$C$37-'I-O 5.65'!$C$38</f>
        <v>144621</v>
      </c>
      <c r="K70" s="6">
        <f>K64-'I-O 5.65'!$C$37-'I-O 5.65'!$C$38</f>
        <v>167760</v>
      </c>
      <c r="L70" s="6">
        <f>L64-'I-O 5.65'!$C$37-'I-O 5.65'!$C$38</f>
        <v>184575</v>
      </c>
      <c r="M70" s="6">
        <f>M64-'I-O 5.65'!$C$37-'I-O 5.65'!$C$38</f>
        <v>189318</v>
      </c>
      <c r="N70" s="6">
        <f>N64-'I-O 5.65'!$C$37-'I-O 5.65'!$C$38</f>
        <v>192210</v>
      </c>
      <c r="O70" s="6">
        <f>O64-'I-O 5.65'!$C$37-'I-O 5.65'!$C$38</f>
        <v>195372</v>
      </c>
      <c r="P70" s="6">
        <f>P64-'I-O 5.65'!$C$37-'I-O 5.65'!$C$38</f>
        <v>202719</v>
      </c>
      <c r="Q70" s="6">
        <f>Q64-'I-O 5.65'!$C$37-'I-O 5.65'!$C$38</f>
        <v>204300</v>
      </c>
      <c r="R70" s="6">
        <f>R64-'I-O 5.65'!$C$37-'I-O 5.65'!$C$38</f>
        <v>208772</v>
      </c>
      <c r="S70" s="6">
        <f>S64-'I-O 5.65'!$C$37-'I-O 5.65'!$C$38</f>
        <v>210353</v>
      </c>
      <c r="T70" s="6">
        <f>T64-'I-O 5.65'!$C$37-'I-O 5.65'!$C$38</f>
        <v>213515</v>
      </c>
      <c r="U70" s="6">
        <f>U64-'I-O 5.65'!$C$37-'I-O 5.65'!$C$38</f>
        <v>216407</v>
      </c>
      <c r="V70" s="6">
        <f>V64-'I-O 5.65'!$C$37-'I-O 5.65'!$C$38</f>
        <v>221132</v>
      </c>
      <c r="W70" s="6">
        <f>W64-'I-O 5.65'!$C$37-'I-O 5.65'!$C$38</f>
        <v>227186</v>
      </c>
      <c r="X70" s="6">
        <f>X64-'I-O 5.65'!$C$37-'I-O 5.65'!$C$38</f>
        <v>228767</v>
      </c>
      <c r="Y70" s="6">
        <f>Y64-'I-O 5.65'!$C$37-'I-O 5.65'!$C$38</f>
        <v>231659</v>
      </c>
      <c r="Z70" s="6">
        <f>Z64-'I-O 5.65'!$C$37-'I-O 5.65'!$C$38</f>
        <v>239276</v>
      </c>
      <c r="AA70" s="6">
        <f>AA64-'I-O 5.65'!$C$37-'I-O 5.65'!$C$38</f>
        <v>242438</v>
      </c>
      <c r="AB70" s="6">
        <f>AB64-'I-O 5.65'!$C$37-'I-O 5.65'!$C$38</f>
        <v>246910</v>
      </c>
      <c r="AC70" s="6">
        <f>AC64-'I-O 5.65'!$C$37-'I-O 5.65'!$C$38</f>
        <v>248491</v>
      </c>
    </row>
    <row r="71" spans="1:29" x14ac:dyDescent="0.25">
      <c r="A71" s="155"/>
      <c r="B71" s="12" t="s">
        <v>134</v>
      </c>
      <c r="I71" s="6">
        <f>I65-'I-O 5.65'!$C$37-'I-O 5.65'!$C$38</f>
        <v>129405</v>
      </c>
      <c r="J71" s="6">
        <f>J65-'I-O 5.65'!$C$37-'I-O 5.65'!$C$38</f>
        <v>144621</v>
      </c>
      <c r="K71" s="6">
        <f>K65-'I-O 5.65'!$C$37-'I-O 5.65'!$C$38</f>
        <v>167760</v>
      </c>
      <c r="L71" s="6">
        <f>L65-'I-O 5.65'!$C$37-'I-O 5.65'!$C$38</f>
        <v>184575</v>
      </c>
      <c r="M71" s="6">
        <f>M65-'I-O 5.65'!$C$37-'I-O 5.65'!$C$38</f>
        <v>189318</v>
      </c>
      <c r="N71" s="6">
        <f>N65-'I-O 5.65'!$C$37-'I-O 5.65'!$C$38</f>
        <v>192210</v>
      </c>
      <c r="O71" s="6">
        <f>O65-'I-O 5.65'!$C$37-'I-O 5.65'!$C$38</f>
        <v>195372</v>
      </c>
      <c r="P71" s="6">
        <f>P65-'I-O 5.65'!$C$37-'I-O 5.65'!$C$38</f>
        <v>202719</v>
      </c>
      <c r="Q71" s="6">
        <f>Q65-'I-O 5.65'!$C$37-'I-O 5.65'!$C$38</f>
        <v>204300</v>
      </c>
      <c r="R71" s="6">
        <f>R65-'I-O 5.65'!$C$37-'I-O 5.65'!$C$38</f>
        <v>208772</v>
      </c>
      <c r="S71" s="6">
        <f>S65-'I-O 5.65'!$C$37-'I-O 5.65'!$C$38</f>
        <v>210353</v>
      </c>
      <c r="T71" s="6">
        <f>T65-'I-O 5.65'!$C$37-'I-O 5.65'!$C$38</f>
        <v>213515</v>
      </c>
      <c r="U71" s="6">
        <f>U65-'I-O 5.65'!$C$37-'I-O 5.65'!$C$38</f>
        <v>216407</v>
      </c>
      <c r="V71" s="6">
        <f>V65-'I-O 5.65'!$C$37-'I-O 5.65'!$C$38</f>
        <v>221132</v>
      </c>
      <c r="W71" s="6">
        <f>W65-'I-O 5.65'!$C$37-'I-O 5.65'!$C$38</f>
        <v>227186</v>
      </c>
      <c r="X71" s="6">
        <f>X65-'I-O 5.65'!$C$37-'I-O 5.65'!$C$38</f>
        <v>228767</v>
      </c>
      <c r="Y71" s="6">
        <f>Y65-'I-O 5.65'!$C$37-'I-O 5.65'!$C$38</f>
        <v>231659</v>
      </c>
      <c r="Z71" s="6">
        <f>Z65-'I-O 5.65'!$C$37-'I-O 5.65'!$C$38</f>
        <v>239276</v>
      </c>
      <c r="AA71" s="6">
        <f>AA65-'I-O 5.65'!$C$37-'I-O 5.65'!$C$38</f>
        <v>242438</v>
      </c>
      <c r="AB71" s="6">
        <f>AB65-'I-O 5.65'!$C$37-'I-O 5.65'!$C$38</f>
        <v>246910</v>
      </c>
      <c r="AC71" s="6">
        <f>AC65-'I-O 5.65'!$C$37-'I-O 5.65'!$C$38</f>
        <v>248491</v>
      </c>
    </row>
    <row r="73" spans="1:29" x14ac:dyDescent="0.25">
      <c r="A73" s="13" t="s">
        <v>106</v>
      </c>
    </row>
    <row r="74" spans="1:29" x14ac:dyDescent="0.25">
      <c r="A74" s="155"/>
      <c r="B74" s="12" t="s">
        <v>124</v>
      </c>
      <c r="J74" s="145">
        <f t="shared" ref="J74:AC74" si="18">(J67-I67)/I67</f>
        <v>0</v>
      </c>
      <c r="K74" s="145">
        <f t="shared" si="18"/>
        <v>0</v>
      </c>
      <c r="L74" s="145">
        <f t="shared" si="18"/>
        <v>0</v>
      </c>
      <c r="M74" s="145">
        <f t="shared" si="18"/>
        <v>0</v>
      </c>
      <c r="N74" s="145">
        <f t="shared" si="18"/>
        <v>0</v>
      </c>
      <c r="O74" s="145">
        <f t="shared" si="18"/>
        <v>0</v>
      </c>
      <c r="P74" s="145">
        <f t="shared" si="18"/>
        <v>0</v>
      </c>
      <c r="Q74" s="145">
        <f t="shared" si="18"/>
        <v>0</v>
      </c>
      <c r="R74" s="145">
        <f t="shared" si="18"/>
        <v>0</v>
      </c>
      <c r="S74" s="145">
        <f t="shared" si="18"/>
        <v>0</v>
      </c>
      <c r="T74" s="145">
        <f t="shared" si="18"/>
        <v>0</v>
      </c>
      <c r="U74" s="145">
        <f t="shared" si="18"/>
        <v>0</v>
      </c>
      <c r="V74" s="145">
        <f t="shared" si="18"/>
        <v>0</v>
      </c>
      <c r="W74" s="145">
        <f t="shared" si="18"/>
        <v>0</v>
      </c>
      <c r="X74" s="145">
        <f t="shared" si="18"/>
        <v>0</v>
      </c>
      <c r="Y74" s="145">
        <f t="shared" si="18"/>
        <v>0</v>
      </c>
      <c r="Z74" s="145">
        <f t="shared" si="18"/>
        <v>0</v>
      </c>
      <c r="AA74" s="145">
        <f t="shared" si="18"/>
        <v>0</v>
      </c>
      <c r="AB74" s="145">
        <f t="shared" si="18"/>
        <v>0</v>
      </c>
      <c r="AC74" s="145">
        <f t="shared" si="18"/>
        <v>0</v>
      </c>
    </row>
    <row r="75" spans="1:29" x14ac:dyDescent="0.25">
      <c r="A75" s="155"/>
      <c r="B75" s="12" t="s">
        <v>100</v>
      </c>
      <c r="J75" s="145">
        <f t="shared" ref="J75:AC75" si="19">(J68-I68)/I68</f>
        <v>0</v>
      </c>
      <c r="K75" s="145">
        <f t="shared" si="19"/>
        <v>0</v>
      </c>
      <c r="L75" s="145">
        <f t="shared" si="19"/>
        <v>1.2217456821606585E-2</v>
      </c>
      <c r="M75" s="145">
        <f t="shared" si="19"/>
        <v>1.0001068816514741E-2</v>
      </c>
      <c r="N75" s="145">
        <f t="shared" si="19"/>
        <v>0</v>
      </c>
      <c r="O75" s="145">
        <f t="shared" si="19"/>
        <v>0</v>
      </c>
      <c r="P75" s="145">
        <f t="shared" si="19"/>
        <v>2.3772449658341899E-2</v>
      </c>
      <c r="Q75" s="145">
        <f t="shared" si="19"/>
        <v>0</v>
      </c>
      <c r="R75" s="145">
        <f t="shared" si="19"/>
        <v>1.167297937847476E-2</v>
      </c>
      <c r="S75" s="145">
        <f t="shared" si="19"/>
        <v>0</v>
      </c>
      <c r="T75" s="145">
        <f t="shared" si="19"/>
        <v>0</v>
      </c>
      <c r="U75" s="145">
        <f t="shared" si="19"/>
        <v>9.5605085314766965E-3</v>
      </c>
      <c r="V75" s="145">
        <f t="shared" si="19"/>
        <v>0</v>
      </c>
      <c r="W75" s="145">
        <f t="shared" si="19"/>
        <v>1.1429025821935633E-2</v>
      </c>
      <c r="X75" s="145">
        <f t="shared" si="19"/>
        <v>0</v>
      </c>
      <c r="Y75" s="145">
        <f t="shared" si="19"/>
        <v>0</v>
      </c>
      <c r="Z75" s="145">
        <f t="shared" si="19"/>
        <v>2.0669987778119261E-2</v>
      </c>
      <c r="AA75" s="145">
        <f t="shared" si="19"/>
        <v>1.0951997479079864E-2</v>
      </c>
      <c r="AB75" s="145">
        <f t="shared" si="19"/>
        <v>0</v>
      </c>
      <c r="AC75" s="145">
        <f t="shared" si="19"/>
        <v>0</v>
      </c>
    </row>
    <row r="76" spans="1:29" x14ac:dyDescent="0.25">
      <c r="A76" s="155"/>
      <c r="B76" s="12" t="s">
        <v>102</v>
      </c>
      <c r="J76" s="145">
        <f t="shared" ref="J76:AC77" si="20">(J69-I69)/I69</f>
        <v>1.2217456821606585E-2</v>
      </c>
      <c r="K76" s="145">
        <f t="shared" si="20"/>
        <v>3.4141053242331243E-2</v>
      </c>
      <c r="L76" s="145">
        <f t="shared" si="20"/>
        <v>5.4238214058970308E-2</v>
      </c>
      <c r="M76" s="145">
        <f t="shared" si="20"/>
        <v>3.296803333216624E-2</v>
      </c>
      <c r="N76" s="145">
        <f t="shared" si="20"/>
        <v>3.0322751215147138E-2</v>
      </c>
      <c r="O76" s="145">
        <f t="shared" si="20"/>
        <v>2.0804547787296197E-2</v>
      </c>
      <c r="P76" s="145">
        <f t="shared" si="20"/>
        <v>2.8714517750792791E-2</v>
      </c>
      <c r="Q76" s="145">
        <f t="shared" si="20"/>
        <v>1.9811657675607601E-2</v>
      </c>
      <c r="R76" s="145">
        <f t="shared" si="20"/>
        <v>8.0484133566798757E-3</v>
      </c>
      <c r="S76" s="145">
        <f t="shared" si="20"/>
        <v>1.9168063385646809E-2</v>
      </c>
      <c r="T76" s="145">
        <f t="shared" si="20"/>
        <v>9.4546106925008973E-3</v>
      </c>
      <c r="U76" s="145">
        <f t="shared" si="20"/>
        <v>3.5758082001883879E-2</v>
      </c>
      <c r="V76" s="145">
        <f t="shared" si="20"/>
        <v>9.0427083512071241E-3</v>
      </c>
      <c r="W76" s="145">
        <f t="shared" si="20"/>
        <v>1.7923341155664387E-2</v>
      </c>
      <c r="X76" s="145">
        <f t="shared" si="20"/>
        <v>1.6098674685376992E-2</v>
      </c>
      <c r="Y76" s="145">
        <f t="shared" si="20"/>
        <v>2.4513484334496988E-2</v>
      </c>
      <c r="Z76" s="145">
        <f t="shared" si="20"/>
        <v>1.6817870592262925E-2</v>
      </c>
      <c r="AA76" s="145">
        <f t="shared" si="20"/>
        <v>3.1848407053575188E-2</v>
      </c>
      <c r="AB76" s="145">
        <f t="shared" si="20"/>
        <v>1.6029203332279675E-2</v>
      </c>
      <c r="AC76" s="145">
        <f t="shared" si="20"/>
        <v>1.4511807151530965E-2</v>
      </c>
    </row>
    <row r="77" spans="1:29" x14ac:dyDescent="0.25">
      <c r="A77" s="155"/>
      <c r="B77" s="12" t="s">
        <v>103</v>
      </c>
      <c r="J77" s="145">
        <f t="shared" si="20"/>
        <v>0.11758432827170512</v>
      </c>
      <c r="K77" s="145">
        <f t="shared" si="20"/>
        <v>0.15999751073495549</v>
      </c>
      <c r="L77" s="145">
        <f t="shared" si="20"/>
        <v>0.10023247496423462</v>
      </c>
      <c r="M77" s="145">
        <f t="shared" si="20"/>
        <v>2.5696871190572939E-2</v>
      </c>
      <c r="N77" s="145">
        <f t="shared" si="20"/>
        <v>1.5275885018857162E-2</v>
      </c>
      <c r="O77" s="145">
        <f t="shared" si="20"/>
        <v>1.6450756984548152E-2</v>
      </c>
      <c r="P77" s="145">
        <f t="shared" si="20"/>
        <v>3.7605183956759415E-2</v>
      </c>
      <c r="Q77" s="145">
        <f t="shared" si="20"/>
        <v>7.7989729625738092E-3</v>
      </c>
      <c r="R77" s="145">
        <f t="shared" si="20"/>
        <v>2.188937836514929E-2</v>
      </c>
      <c r="S77" s="145">
        <f t="shared" si="20"/>
        <v>7.5728545973597992E-3</v>
      </c>
      <c r="T77" s="145">
        <f t="shared" si="20"/>
        <v>1.5031874991086411E-2</v>
      </c>
      <c r="U77" s="145">
        <f t="shared" si="20"/>
        <v>1.3544715827927781E-2</v>
      </c>
      <c r="V77" s="145">
        <f t="shared" si="20"/>
        <v>2.1833859348357493E-2</v>
      </c>
      <c r="W77" s="145">
        <f t="shared" si="20"/>
        <v>2.7377313098059079E-2</v>
      </c>
      <c r="X77" s="145">
        <f t="shared" si="20"/>
        <v>6.9590555756076523E-3</v>
      </c>
      <c r="Y77" s="145">
        <f t="shared" si="20"/>
        <v>1.2641683459589888E-2</v>
      </c>
      <c r="Z77" s="145">
        <f t="shared" si="20"/>
        <v>3.2880224813195254E-2</v>
      </c>
      <c r="AA77" s="145">
        <f t="shared" si="20"/>
        <v>1.3214864842274195E-2</v>
      </c>
      <c r="AB77" s="145">
        <f t="shared" si="20"/>
        <v>1.8445953192156344E-2</v>
      </c>
      <c r="AC77" s="145">
        <f t="shared" si="20"/>
        <v>6.4031428455712611E-3</v>
      </c>
    </row>
    <row r="78" spans="1:29" x14ac:dyDescent="0.25">
      <c r="A78" s="155"/>
      <c r="B78" s="12" t="s">
        <v>134</v>
      </c>
      <c r="J78" s="145">
        <f t="shared" ref="J78:AC78" si="21">(J71-I71)/I71</f>
        <v>0.11758432827170512</v>
      </c>
      <c r="K78" s="145">
        <f t="shared" si="21"/>
        <v>0.15999751073495549</v>
      </c>
      <c r="L78" s="145">
        <f t="shared" si="21"/>
        <v>0.10023247496423462</v>
      </c>
      <c r="M78" s="145">
        <f t="shared" si="21"/>
        <v>2.5696871190572939E-2</v>
      </c>
      <c r="N78" s="145">
        <f t="shared" si="21"/>
        <v>1.5275885018857162E-2</v>
      </c>
      <c r="O78" s="145">
        <f t="shared" si="21"/>
        <v>1.6450756984548152E-2</v>
      </c>
      <c r="P78" s="145">
        <f t="shared" si="21"/>
        <v>3.7605183956759415E-2</v>
      </c>
      <c r="Q78" s="145">
        <f t="shared" si="21"/>
        <v>7.7989729625738092E-3</v>
      </c>
      <c r="R78" s="145">
        <f t="shared" si="21"/>
        <v>2.188937836514929E-2</v>
      </c>
      <c r="S78" s="145">
        <f t="shared" si="21"/>
        <v>7.5728545973597992E-3</v>
      </c>
      <c r="T78" s="145">
        <f t="shared" si="21"/>
        <v>1.5031874991086411E-2</v>
      </c>
      <c r="U78" s="145">
        <f t="shared" si="21"/>
        <v>1.3544715827927781E-2</v>
      </c>
      <c r="V78" s="145">
        <f t="shared" si="21"/>
        <v>2.1833859348357493E-2</v>
      </c>
      <c r="W78" s="145">
        <f t="shared" si="21"/>
        <v>2.7377313098059079E-2</v>
      </c>
      <c r="X78" s="145">
        <f t="shared" si="21"/>
        <v>6.9590555756076523E-3</v>
      </c>
      <c r="Y78" s="145">
        <f t="shared" si="21"/>
        <v>1.2641683459589888E-2</v>
      </c>
      <c r="Z78" s="145">
        <f t="shared" si="21"/>
        <v>3.2880224813195254E-2</v>
      </c>
      <c r="AA78" s="145">
        <f t="shared" si="21"/>
        <v>1.3214864842274195E-2</v>
      </c>
      <c r="AB78" s="145">
        <f t="shared" si="21"/>
        <v>1.8445953192156344E-2</v>
      </c>
      <c r="AC78" s="145">
        <f t="shared" si="21"/>
        <v>6.4031428455712611E-3</v>
      </c>
    </row>
    <row r="79" spans="1:29" x14ac:dyDescent="0.25">
      <c r="A79" s="155"/>
      <c r="B79" s="12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</row>
    <row r="80" spans="1:29" x14ac:dyDescent="0.25">
      <c r="A80" s="13" t="s">
        <v>107</v>
      </c>
    </row>
    <row r="81" spans="1:29" x14ac:dyDescent="0.25">
      <c r="A81" s="155"/>
      <c r="B81" s="12" t="s">
        <v>124</v>
      </c>
      <c r="J81" s="173">
        <v>0</v>
      </c>
      <c r="K81" s="174">
        <v>0</v>
      </c>
      <c r="L81" s="174">
        <v>0</v>
      </c>
      <c r="M81" s="174">
        <v>0</v>
      </c>
      <c r="N81" s="174">
        <v>0</v>
      </c>
      <c r="O81" s="174">
        <v>0</v>
      </c>
      <c r="P81" s="174">
        <v>0</v>
      </c>
      <c r="Q81" s="174">
        <v>0</v>
      </c>
      <c r="R81" s="174">
        <v>0</v>
      </c>
      <c r="S81" s="174">
        <v>0</v>
      </c>
      <c r="T81" s="174">
        <v>0</v>
      </c>
      <c r="U81" s="174">
        <v>0</v>
      </c>
      <c r="V81" s="174">
        <v>0</v>
      </c>
      <c r="W81" s="174">
        <v>0</v>
      </c>
      <c r="X81" s="174">
        <v>0</v>
      </c>
      <c r="Y81" s="174">
        <v>0</v>
      </c>
      <c r="Z81" s="174">
        <v>0</v>
      </c>
      <c r="AA81" s="174">
        <v>0</v>
      </c>
      <c r="AB81" s="174">
        <v>0</v>
      </c>
      <c r="AC81" s="174">
        <v>0</v>
      </c>
    </row>
    <row r="82" spans="1:29" x14ac:dyDescent="0.25">
      <c r="A82" s="155"/>
      <c r="B82" s="12" t="s">
        <v>100</v>
      </c>
      <c r="J82" s="173">
        <v>-0.01</v>
      </c>
      <c r="K82" s="174">
        <v>0.01</v>
      </c>
      <c r="L82" s="174">
        <v>0</v>
      </c>
      <c r="M82" s="174">
        <v>0.01</v>
      </c>
      <c r="N82" s="174">
        <v>-0.01</v>
      </c>
      <c r="O82" s="174">
        <v>-0.01</v>
      </c>
      <c r="P82" s="174">
        <v>0.02</v>
      </c>
      <c r="Q82" s="174">
        <v>0</v>
      </c>
      <c r="R82" s="174">
        <v>-0.01</v>
      </c>
      <c r="S82" s="174">
        <v>0</v>
      </c>
      <c r="T82" s="174">
        <v>0</v>
      </c>
      <c r="U82" s="174">
        <v>0</v>
      </c>
      <c r="V82" s="174">
        <v>0</v>
      </c>
      <c r="W82" s="174">
        <v>0</v>
      </c>
      <c r="X82" s="174">
        <v>0</v>
      </c>
      <c r="Y82" s="174">
        <v>0</v>
      </c>
      <c r="Z82" s="174">
        <v>0.01</v>
      </c>
      <c r="AA82" s="174">
        <v>0</v>
      </c>
      <c r="AB82" s="174">
        <v>-0.01</v>
      </c>
      <c r="AC82" s="174">
        <v>0</v>
      </c>
    </row>
    <row r="83" spans="1:29" x14ac:dyDescent="0.25">
      <c r="A83" s="155"/>
      <c r="B83" s="12" t="s">
        <v>102</v>
      </c>
      <c r="J83" s="174">
        <v>0</v>
      </c>
      <c r="K83" s="174">
        <v>0.02</v>
      </c>
      <c r="L83" s="174">
        <v>0.02</v>
      </c>
      <c r="M83" s="174">
        <v>-0.01</v>
      </c>
      <c r="N83" s="174">
        <f t="shared" ref="N83" si="22">M83</f>
        <v>-0.01</v>
      </c>
      <c r="O83" s="174">
        <f t="shared" ref="O83:T83" si="23">N83</f>
        <v>-0.01</v>
      </c>
      <c r="P83" s="174">
        <v>0.01</v>
      </c>
      <c r="Q83" s="174">
        <v>0</v>
      </c>
      <c r="R83" s="174">
        <v>-0.01</v>
      </c>
      <c r="S83" s="174">
        <v>0</v>
      </c>
      <c r="T83" s="174">
        <f t="shared" si="23"/>
        <v>0</v>
      </c>
      <c r="U83" s="174">
        <v>0.01</v>
      </c>
      <c r="V83" s="174">
        <v>-0.01</v>
      </c>
      <c r="W83" s="174">
        <v>0</v>
      </c>
      <c r="X83" s="174">
        <v>0</v>
      </c>
      <c r="Y83" s="174">
        <v>0.01</v>
      </c>
      <c r="Z83" s="174">
        <v>-0.01</v>
      </c>
      <c r="AA83" s="174">
        <v>0.01</v>
      </c>
      <c r="AB83" s="174">
        <v>0</v>
      </c>
      <c r="AC83" s="174">
        <v>-0.01</v>
      </c>
    </row>
    <row r="84" spans="1:29" x14ac:dyDescent="0.25">
      <c r="A84" s="155"/>
      <c r="B84" s="12" t="s">
        <v>103</v>
      </c>
      <c r="J84" s="174">
        <v>-0.01</v>
      </c>
      <c r="K84" s="174">
        <v>-7.0000000000000007E-2</v>
      </c>
      <c r="L84" s="174">
        <v>-0.02</v>
      </c>
      <c r="M84" s="174">
        <v>0.05</v>
      </c>
      <c r="N84" s="174">
        <v>0.06</v>
      </c>
      <c r="O84" s="174">
        <v>0.02</v>
      </c>
      <c r="P84" s="174">
        <v>-0.01</v>
      </c>
      <c r="Q84" s="174">
        <v>-0.02</v>
      </c>
      <c r="R84" s="174">
        <v>0.01</v>
      </c>
      <c r="S84" s="174">
        <v>-0.01</v>
      </c>
      <c r="T84" s="174">
        <v>0</v>
      </c>
      <c r="U84" s="174">
        <v>0</v>
      </c>
      <c r="V84" s="174">
        <v>0.01</v>
      </c>
      <c r="W84" s="174">
        <v>0</v>
      </c>
      <c r="X84" s="174">
        <v>-0.01</v>
      </c>
      <c r="Y84" s="174">
        <v>0</v>
      </c>
      <c r="Z84" s="174">
        <v>0.01</v>
      </c>
      <c r="AA84" s="174">
        <v>0</v>
      </c>
      <c r="AB84" s="174">
        <v>-0.01</v>
      </c>
      <c r="AC84" s="174">
        <v>0</v>
      </c>
    </row>
    <row r="85" spans="1:29" x14ac:dyDescent="0.25">
      <c r="A85" s="155"/>
      <c r="B85" s="12" t="s">
        <v>134</v>
      </c>
      <c r="J85" s="172">
        <v>-0.01</v>
      </c>
      <c r="K85" s="172">
        <v>-7.0000000000000007E-2</v>
      </c>
      <c r="L85" s="172">
        <v>0.02</v>
      </c>
      <c r="M85" s="172">
        <v>0.04</v>
      </c>
      <c r="N85" s="172">
        <v>0.02</v>
      </c>
      <c r="O85" s="172">
        <v>0</v>
      </c>
      <c r="P85" s="172">
        <v>0.02</v>
      </c>
      <c r="Q85" s="172">
        <v>-0.01</v>
      </c>
      <c r="R85" s="172">
        <v>-0.01</v>
      </c>
      <c r="S85" s="172">
        <v>0</v>
      </c>
      <c r="T85" s="172">
        <v>0</v>
      </c>
      <c r="U85" s="172">
        <v>0</v>
      </c>
      <c r="V85" s="172">
        <v>0.01</v>
      </c>
      <c r="W85" s="172">
        <v>0</v>
      </c>
      <c r="X85" s="172">
        <v>-0.01</v>
      </c>
      <c r="Y85" s="172">
        <v>0</v>
      </c>
      <c r="Z85" s="172">
        <v>0.02</v>
      </c>
      <c r="AA85" s="172">
        <v>-0.01</v>
      </c>
      <c r="AB85" s="172">
        <v>-0.01</v>
      </c>
      <c r="AC85" s="172">
        <v>0</v>
      </c>
    </row>
    <row r="86" spans="1:29" ht="15.75" thickBot="1" x14ac:dyDescent="0.3"/>
    <row r="87" spans="1:29" ht="15.75" thickBot="1" x14ac:dyDescent="0.3">
      <c r="A87" t="s">
        <v>111</v>
      </c>
      <c r="B87" t="s">
        <v>123</v>
      </c>
      <c r="J87" s="151">
        <f t="shared" ref="J87:AC87" si="24">VLOOKUP(Dispon,$B$67:$AC$71,J$59,FALSE)</f>
        <v>144621</v>
      </c>
      <c r="K87" s="152">
        <f t="shared" si="24"/>
        <v>167760</v>
      </c>
      <c r="L87" s="152">
        <f t="shared" si="24"/>
        <v>184575</v>
      </c>
      <c r="M87" s="152">
        <f t="shared" si="24"/>
        <v>189318</v>
      </c>
      <c r="N87" s="152">
        <f t="shared" si="24"/>
        <v>192210</v>
      </c>
      <c r="O87" s="152">
        <f t="shared" si="24"/>
        <v>195372</v>
      </c>
      <c r="P87" s="152">
        <f t="shared" si="24"/>
        <v>202719</v>
      </c>
      <c r="Q87" s="152">
        <f t="shared" si="24"/>
        <v>204300</v>
      </c>
      <c r="R87" s="152">
        <f t="shared" si="24"/>
        <v>208772</v>
      </c>
      <c r="S87" s="152">
        <f t="shared" si="24"/>
        <v>210353</v>
      </c>
      <c r="T87" s="152">
        <f t="shared" si="24"/>
        <v>213515</v>
      </c>
      <c r="U87" s="152">
        <f t="shared" si="24"/>
        <v>216407</v>
      </c>
      <c r="V87" s="152">
        <f t="shared" si="24"/>
        <v>221132</v>
      </c>
      <c r="W87" s="152">
        <f t="shared" si="24"/>
        <v>227186</v>
      </c>
      <c r="X87" s="152">
        <f t="shared" si="24"/>
        <v>228767</v>
      </c>
      <c r="Y87" s="152">
        <f t="shared" si="24"/>
        <v>231659</v>
      </c>
      <c r="Z87" s="152">
        <f t="shared" si="24"/>
        <v>239276</v>
      </c>
      <c r="AA87" s="152">
        <f t="shared" si="24"/>
        <v>242438</v>
      </c>
      <c r="AB87" s="152">
        <f t="shared" si="24"/>
        <v>246910</v>
      </c>
      <c r="AC87" s="153">
        <f t="shared" si="24"/>
        <v>248491</v>
      </c>
    </row>
    <row r="88" spans="1:29" ht="15.75" thickBot="1" x14ac:dyDescent="0.3">
      <c r="B88" s="12" t="s">
        <v>112</v>
      </c>
      <c r="J88" s="151">
        <f ca="1">SUMPRODUCT('MR 5.65'!D5:D12,UAEq)</f>
        <v>131990.90945287026</v>
      </c>
      <c r="K88" s="152">
        <f ca="1">SUMPRODUCT('MR 5.65'!E5:E12,UAEq)</f>
        <v>141196.12535274995</v>
      </c>
      <c r="L88" s="152">
        <f ca="1">SUMPRODUCT('MR 5.65'!F5:F12,UAEq)</f>
        <v>152439.96994799731</v>
      </c>
      <c r="M88" s="152">
        <f ca="1">SUMPRODUCT('MR 5.65'!G5:G12,UAEq)</f>
        <v>164266.15982552897</v>
      </c>
      <c r="N88" s="152">
        <f ca="1">SUMPRODUCT('MR 5.65'!H5:H12,UAEq)</f>
        <v>176557.57768305312</v>
      </c>
      <c r="O88" s="152">
        <f ca="1">SUMPRODUCT('MR 5.65'!I5:I12,UAEq)</f>
        <v>185603.56686365427</v>
      </c>
      <c r="P88" s="152">
        <f ca="1">SUMPRODUCT('MR 5.65'!J5:J12,UAEq)</f>
        <v>192934.37242609911</v>
      </c>
      <c r="Q88" s="152">
        <f ca="1">SUMPRODUCT('MR 5.65'!K5:K12,UAEq)</f>
        <v>194372.26957519285</v>
      </c>
      <c r="R88" s="152">
        <f ca="1">SUMPRODUCT('MR 5.65'!L5:L12,UAEq)</f>
        <v>199684.59984682908</v>
      </c>
      <c r="S88" s="152">
        <f ca="1">SUMPRODUCT('MR 5.65'!M5:M12,UAEq)</f>
        <v>200386.67011290992</v>
      </c>
      <c r="T88" s="152">
        <f ca="1">SUMPRODUCT('MR 5.65'!N5:N12,UAEq)</f>
        <v>203437.08489335957</v>
      </c>
      <c r="U88" s="152">
        <f ca="1">SUMPRODUCT('MR 5.65'!O5:O12,UAEq)</f>
        <v>205965.02103766249</v>
      </c>
      <c r="V88" s="152">
        <f ca="1">SUMPRODUCT('MR 5.65'!P5:P12,UAEq)</f>
        <v>210823.55361280937</v>
      </c>
      <c r="W88" s="152">
        <f ca="1">SUMPRODUCT('MR 5.65'!Q5:Q12,UAEq)</f>
        <v>216213.17835361493</v>
      </c>
      <c r="X88" s="152">
        <f ca="1">SUMPRODUCT('MR 5.65'!R5:R12,UAEq)</f>
        <v>217693.29228217175</v>
      </c>
      <c r="Y88" s="152">
        <f ca="1">SUMPRODUCT('MR 5.65'!S5:S12,UAEq)</f>
        <v>220896.43390937202</v>
      </c>
      <c r="Z88" s="152">
        <f ca="1">SUMPRODUCT('MR 5.65'!T5:T12,UAEq)</f>
        <v>227378.82586337114</v>
      </c>
      <c r="AA88" s="152">
        <f ca="1">SUMPRODUCT('MR 5.65'!U5:U12,UAEq)</f>
        <v>231093.38714558061</v>
      </c>
      <c r="AB88" s="152">
        <f ca="1">SUMPRODUCT('MR 5.65'!V5:V12,UAEq)</f>
        <v>234714.60686095949</v>
      </c>
      <c r="AC88" s="153">
        <f ca="1">SUMPRODUCT('MR 5.65'!W5:W12,UAEq)</f>
        <v>236845.22942436166</v>
      </c>
    </row>
    <row r="89" spans="1:29" x14ac:dyDescent="0.25">
      <c r="B89" s="12" t="s">
        <v>113</v>
      </c>
      <c r="J89" s="144">
        <f ca="1">(J87-J88)/J87</f>
        <v>8.7332341410512618E-2</v>
      </c>
      <c r="K89" s="144">
        <f t="shared" ref="K89:AC89" ca="1" si="25">(K87-K88)/K87</f>
        <v>0.15834450791160021</v>
      </c>
      <c r="L89" s="144">
        <f t="shared" ca="1" si="25"/>
        <v>0.17410283110931976</v>
      </c>
      <c r="M89" s="144">
        <f t="shared" ca="1" si="25"/>
        <v>0.13232677386445571</v>
      </c>
      <c r="N89" s="144">
        <f t="shared" ca="1" si="25"/>
        <v>8.1433964502090811E-2</v>
      </c>
      <c r="O89" s="144">
        <f t="shared" ca="1" si="25"/>
        <v>4.9999145918277602E-2</v>
      </c>
      <c r="P89" s="144">
        <f t="shared" ca="1" si="25"/>
        <v>4.8266948701902068E-2</v>
      </c>
      <c r="Q89" s="144">
        <f t="shared" ca="1" si="25"/>
        <v>4.8593883626075113E-2</v>
      </c>
      <c r="R89" s="144">
        <f t="shared" ca="1" si="25"/>
        <v>4.3527868455400735E-2</v>
      </c>
      <c r="S89" s="144">
        <f t="shared" ca="1" si="25"/>
        <v>4.7379071784524475E-2</v>
      </c>
      <c r="T89" s="144">
        <f t="shared" ca="1" si="25"/>
        <v>4.7200033284033584E-2</v>
      </c>
      <c r="U89" s="144">
        <f t="shared" ca="1" si="25"/>
        <v>4.8251576715806377E-2</v>
      </c>
      <c r="V89" s="144">
        <f t="shared" ca="1" si="25"/>
        <v>4.661671032320349E-2</v>
      </c>
      <c r="W89" s="144">
        <f t="shared" ca="1" si="25"/>
        <v>4.8298846083759867E-2</v>
      </c>
      <c r="X89" s="144">
        <f t="shared" ca="1" si="25"/>
        <v>4.8406053835685428E-2</v>
      </c>
      <c r="Y89" s="144">
        <f t="shared" ca="1" si="25"/>
        <v>4.6458657296405408E-2</v>
      </c>
      <c r="Z89" s="144">
        <f t="shared" ca="1" si="25"/>
        <v>4.9721552251913534E-2</v>
      </c>
      <c r="AA89" s="144">
        <f t="shared" ca="1" si="25"/>
        <v>4.6793872472217196E-2</v>
      </c>
      <c r="AB89" s="144">
        <f t="shared" ca="1" si="25"/>
        <v>4.9392058397960813E-2</v>
      </c>
      <c r="AC89" s="144">
        <f t="shared" ca="1" si="25"/>
        <v>4.6865965268916523E-2</v>
      </c>
    </row>
    <row r="90" spans="1:29" x14ac:dyDescent="0.25">
      <c r="B90" s="12"/>
    </row>
    <row r="91" spans="1:29" x14ac:dyDescent="0.25">
      <c r="B91" s="12"/>
      <c r="J91" s="6">
        <f ca="1">'MR 5.65'!D32</f>
        <v>121.25038007556577</v>
      </c>
      <c r="K91" s="6">
        <f ca="1">'MR 5.65'!E32</f>
        <v>493.95304274243244</v>
      </c>
      <c r="L91" s="6">
        <f ca="1">'MR 5.65'!F32</f>
        <v>495.95729530695826</v>
      </c>
      <c r="M91" s="6">
        <f ca="1">'MR 5.65'!G32</f>
        <v>226.52231242992275</v>
      </c>
      <c r="N91" s="6">
        <f ca="1">'MR 5.65'!H32</f>
        <v>1026.9520393497514</v>
      </c>
      <c r="O91" s="6">
        <f ca="1">'MR 5.65'!I32</f>
        <v>5128.9265466753568</v>
      </c>
      <c r="P91" s="6">
        <f ca="1">'MR 5.65'!J32</f>
        <v>7127.6733241250331</v>
      </c>
      <c r="Q91" s="6">
        <f ca="1">'MR 5.65'!K32</f>
        <v>12837.877712300804</v>
      </c>
      <c r="R91" s="6">
        <f ca="1">'MR 5.65'!L32</f>
        <v>8520.5650655916397</v>
      </c>
      <c r="S91" s="6">
        <f ca="1">'MR 5.65'!M32</f>
        <v>13015.381280740679</v>
      </c>
      <c r="T91" s="6">
        <f ca="1">'MR 5.65'!N32</f>
        <v>11401.194231553382</v>
      </c>
      <c r="U91" s="6">
        <f ca="1">'MR 5.65'!O32</f>
        <v>11127.511087007646</v>
      </c>
      <c r="V91" s="6">
        <f ca="1">'MR 5.65'!P32</f>
        <v>9783.1600719356502</v>
      </c>
      <c r="W91" s="6">
        <f ca="1">'MR 5.65'!Q32</f>
        <v>9477.0366354724974</v>
      </c>
      <c r="X91" s="6">
        <f ca="1">'MR 5.65'!R32</f>
        <v>14179.086161318177</v>
      </c>
    </row>
  </sheetData>
  <conditionalFormatting sqref="J89:AC89">
    <cfRule type="cellIs" dxfId="18" priority="4" operator="notBetween">
      <formula>4%</formula>
      <formula>5%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zoomScale="80" zoomScaleNormal="80" workbookViewId="0">
      <pane xSplit="3" ySplit="2" topLeftCell="D46" activePane="bottomRight" state="frozen"/>
      <selection pane="topRight" activeCell="D1" sqref="D1"/>
      <selection pane="bottomLeft" activeCell="A3" sqref="A3"/>
      <selection pane="bottomRight" activeCell="C2" sqref="C2"/>
    </sheetView>
  </sheetViews>
  <sheetFormatPr baseColWidth="10" defaultRowHeight="15" x14ac:dyDescent="0.25"/>
  <cols>
    <col min="1" max="1" width="12.7109375" style="110" customWidth="1"/>
    <col min="2" max="2" width="25.28515625" style="106" customWidth="1"/>
    <col min="3" max="5" width="9.7109375" style="112" customWidth="1"/>
    <col min="6" max="9" width="11.42578125" style="103"/>
    <col min="10" max="16384" width="11.42578125" style="12"/>
  </cols>
  <sheetData>
    <row r="1" spans="1:12" ht="15.75" thickBot="1" x14ac:dyDescent="0.3">
      <c r="B1" s="106" t="s">
        <v>121</v>
      </c>
      <c r="C1" s="154" t="str">
        <f>B46</f>
        <v>Acelerado</v>
      </c>
      <c r="E1" s="112">
        <v>4</v>
      </c>
      <c r="F1" s="103">
        <v>5</v>
      </c>
      <c r="G1" s="103">
        <v>6</v>
      </c>
      <c r="H1" s="112">
        <v>7</v>
      </c>
      <c r="I1" s="112">
        <v>8</v>
      </c>
      <c r="K1" s="8"/>
      <c r="L1" s="8"/>
    </row>
    <row r="2" spans="1:12" ht="15.75" thickBot="1" x14ac:dyDescent="0.3">
      <c r="C2" s="112">
        <v>5</v>
      </c>
      <c r="D2" s="113" t="s">
        <v>109</v>
      </c>
      <c r="E2" s="113" t="s">
        <v>50</v>
      </c>
      <c r="F2" s="114" t="s">
        <v>51</v>
      </c>
      <c r="G2" s="115" t="s">
        <v>52</v>
      </c>
      <c r="H2" s="113" t="s">
        <v>66</v>
      </c>
      <c r="I2" s="113" t="s">
        <v>67</v>
      </c>
    </row>
    <row r="3" spans="1:12" x14ac:dyDescent="0.25">
      <c r="A3" s="179" t="s">
        <v>9</v>
      </c>
      <c r="B3" s="103" t="s">
        <v>21</v>
      </c>
      <c r="C3" s="116"/>
      <c r="D3" s="3">
        <f>SUM('MR 5.65'!C5:C12)</f>
        <v>156680.57419459763</v>
      </c>
      <c r="E3" s="3">
        <f ca="1">SUM('MR 5.65'!D5:D12)</f>
        <v>164906.02554124827</v>
      </c>
      <c r="F3" s="117">
        <f ca="1">SUM('MR 5.65'!H5:H12)</f>
        <v>220925.49700100883</v>
      </c>
      <c r="G3" s="118">
        <f ca="1">SUM('MR 5.65'!M5:M12)</f>
        <v>253489.41311341195</v>
      </c>
      <c r="H3" s="112">
        <f ca="1">SUM('MR 5.65'!R5:R12)</f>
        <v>275531.35184034635</v>
      </c>
      <c r="I3" s="112">
        <f ca="1">SUM('MR 5.65'!W5:W12)</f>
        <v>299326.00372990896</v>
      </c>
    </row>
    <row r="4" spans="1:12" x14ac:dyDescent="0.25">
      <c r="A4" s="179"/>
      <c r="B4" s="103" t="s">
        <v>0</v>
      </c>
      <c r="C4" s="116"/>
      <c r="D4" s="3"/>
      <c r="E4" s="117">
        <f ca="1">'MR 5.65'!D5</f>
        <v>84676.679708957876</v>
      </c>
      <c r="F4" s="117">
        <f ca="1">'MR 5.65'!H5</f>
        <v>115323.11571752014</v>
      </c>
      <c r="G4" s="119">
        <f ca="1">'MR 5.65'!M5</f>
        <v>124892.8747322433</v>
      </c>
      <c r="H4" s="112">
        <f ca="1">'MR 5.65'!R5</f>
        <v>135792.98193237919</v>
      </c>
      <c r="I4" s="112">
        <f ca="1">'MR 5.65'!W5</f>
        <v>147466.61877995991</v>
      </c>
    </row>
    <row r="5" spans="1:12" x14ac:dyDescent="0.25">
      <c r="A5" s="179"/>
      <c r="B5" s="103" t="s">
        <v>12</v>
      </c>
      <c r="C5" s="116"/>
      <c r="D5" s="3"/>
      <c r="E5" s="117">
        <f ca="1">'MR 5.65'!D6</f>
        <v>2111.4499184874658</v>
      </c>
      <c r="F5" s="117">
        <f ca="1">'MR 5.65'!H6</f>
        <v>2499.7166593034854</v>
      </c>
      <c r="G5" s="119">
        <f ca="1">'MR 5.65'!M6</f>
        <v>3269.0063071210352</v>
      </c>
      <c r="H5" s="112">
        <f ca="1">'MR 5.65'!R6</f>
        <v>3581.354280547208</v>
      </c>
      <c r="I5" s="112">
        <f ca="1">'MR 5.65'!W6</f>
        <v>3871.8799096301573</v>
      </c>
    </row>
    <row r="6" spans="1:12" x14ac:dyDescent="0.25">
      <c r="A6" s="179"/>
      <c r="B6" s="103" t="s">
        <v>4</v>
      </c>
      <c r="C6" s="116"/>
      <c r="D6" s="3"/>
      <c r="E6" s="117">
        <f ca="1">'MR 5.65'!D7</f>
        <v>10386.556127287104</v>
      </c>
      <c r="F6" s="117">
        <f ca="1">'MR 5.65'!H7</f>
        <v>12400.765106420937</v>
      </c>
      <c r="G6" s="119">
        <f ca="1">'MR 5.65'!M7</f>
        <v>16755.287312829849</v>
      </c>
      <c r="H6" s="112">
        <f ca="1">'MR 5.65'!R7</f>
        <v>17389.128877867839</v>
      </c>
      <c r="I6" s="112">
        <f ca="1">'MR 5.65'!W7</f>
        <v>19746.584897087352</v>
      </c>
    </row>
    <row r="7" spans="1:12" x14ac:dyDescent="0.25">
      <c r="A7" s="179"/>
      <c r="B7" s="103" t="s">
        <v>73</v>
      </c>
      <c r="C7" s="116"/>
      <c r="D7" s="3"/>
      <c r="E7" s="117">
        <f ca="1">'MR 5.65'!D8</f>
        <v>12557.853833370338</v>
      </c>
      <c r="F7" s="117">
        <f ca="1">'MR 5.65'!H8</f>
        <v>16503.620521874509</v>
      </c>
      <c r="G7" s="119">
        <f ca="1">'MR 5.65'!M8</f>
        <v>19527.617308365214</v>
      </c>
      <c r="H7" s="112">
        <f ca="1">'MR 5.65'!R8</f>
        <v>21905.084133963199</v>
      </c>
      <c r="I7" s="112">
        <f ca="1">'MR 5.65'!W8</f>
        <v>23505.269294322286</v>
      </c>
    </row>
    <row r="8" spans="1:12" x14ac:dyDescent="0.25">
      <c r="A8" s="179"/>
      <c r="B8" s="103" t="s">
        <v>2</v>
      </c>
      <c r="C8" s="116"/>
      <c r="D8" s="3"/>
      <c r="E8" s="117">
        <f ca="1">'MR 5.65'!D9</f>
        <v>21729.251406993873</v>
      </c>
      <c r="F8" s="117">
        <f ca="1">'MR 5.65'!H9</f>
        <v>29739.412548181994</v>
      </c>
      <c r="G8" s="119">
        <f ca="1">'MR 5.65'!M9</f>
        <v>35311.140956584961</v>
      </c>
      <c r="H8" s="112">
        <f ca="1">'MR 5.65'!R9</f>
        <v>38398.188113035409</v>
      </c>
      <c r="I8" s="112">
        <f ca="1">'MR 5.65'!W9</f>
        <v>41362.640037289486</v>
      </c>
    </row>
    <row r="9" spans="1:12" x14ac:dyDescent="0.25">
      <c r="A9" s="179"/>
      <c r="B9" s="103" t="s">
        <v>5</v>
      </c>
      <c r="C9" s="116"/>
      <c r="D9" s="3"/>
      <c r="E9" s="117">
        <f ca="1">'MR 5.65'!D11</f>
        <v>12477.41301308736</v>
      </c>
      <c r="F9" s="117">
        <f ca="1">'MR 5.65'!H11</f>
        <v>15762.942059111083</v>
      </c>
      <c r="G9" s="119">
        <f ca="1">'MR 5.65'!M11</f>
        <v>19661.33294166805</v>
      </c>
      <c r="H9" s="112">
        <f ca="1">'MR 5.65'!R11</f>
        <v>21413.731235589508</v>
      </c>
      <c r="I9" s="112">
        <f ca="1">'MR 5.65'!W11</f>
        <v>23461.691477393026</v>
      </c>
    </row>
    <row r="10" spans="1:12" x14ac:dyDescent="0.25">
      <c r="A10" s="179"/>
      <c r="B10" s="103" t="s">
        <v>1</v>
      </c>
      <c r="C10" s="116"/>
      <c r="D10" s="3"/>
      <c r="E10" s="117">
        <f ca="1">'MR 5.65'!D12</f>
        <v>20966.821533064263</v>
      </c>
      <c r="F10" s="117">
        <f ca="1">'MR 5.65'!H12</f>
        <v>28695.924388596661</v>
      </c>
      <c r="G10" s="119">
        <f ca="1">'MR 5.65'!M12</f>
        <v>34072.153554599521</v>
      </c>
      <c r="H10" s="112">
        <f ca="1">'MR 5.65'!R12</f>
        <v>37050.883266963996</v>
      </c>
      <c r="I10" s="112">
        <f ca="1">'MR 5.65'!W12</f>
        <v>39911.31933422669</v>
      </c>
    </row>
    <row r="11" spans="1:12" x14ac:dyDescent="0.25">
      <c r="A11" s="179"/>
      <c r="B11" s="103" t="s">
        <v>91</v>
      </c>
      <c r="C11" s="116"/>
      <c r="D11" s="117">
        <f>SUMPRODUCT('MR 5.65'!C5:C12,UAEq)</f>
        <v>123765.62425581206</v>
      </c>
      <c r="E11" s="117">
        <f ca="1">SUMPRODUCT('MR 5.65'!D5:D12,UAEq)</f>
        <v>131990.90945287026</v>
      </c>
      <c r="F11" s="117">
        <f ca="1">SUMPRODUCT('MR 5.65'!H5:H12,UAEq)</f>
        <v>176557.57768305312</v>
      </c>
      <c r="G11" s="119">
        <f ca="1">SUMPRODUCT('MR 5.65'!M5:M12,UAEq)</f>
        <v>200386.67011290992</v>
      </c>
      <c r="H11" s="112">
        <f ca="1">SUMPRODUCT('MR 5.65'!R5:R12,UAEq)</f>
        <v>217693.29228217175</v>
      </c>
      <c r="I11" s="112">
        <f ca="1">SUMPRODUCT('MR 5.65'!W5:W12,UAEq)</f>
        <v>236845.22942436166</v>
      </c>
    </row>
    <row r="12" spans="1:12" ht="15.75" thickBot="1" x14ac:dyDescent="0.3">
      <c r="B12" s="106" t="s">
        <v>15</v>
      </c>
      <c r="E12" s="117">
        <f ca="1">'MR 5.65'!D20</f>
        <v>76242.98739296096</v>
      </c>
      <c r="F12" s="117">
        <f ca="1">'MR 5.65'!H20</f>
        <v>104348.81595853332</v>
      </c>
      <c r="G12" s="119">
        <f ca="1">'MR 5.65'!M20</f>
        <v>123898.74019854373</v>
      </c>
      <c r="H12" s="112">
        <f ca="1">'MR 5.65'!R20</f>
        <v>134730.48460714179</v>
      </c>
      <c r="I12" s="112">
        <f ca="1">'MR 5.65'!W20</f>
        <v>145132.07030627888</v>
      </c>
    </row>
    <row r="13" spans="1:12" x14ac:dyDescent="0.25">
      <c r="A13" s="110" t="s">
        <v>8</v>
      </c>
      <c r="B13" s="104" t="s">
        <v>0</v>
      </c>
      <c r="C13" s="120">
        <v>1</v>
      </c>
      <c r="D13" s="147"/>
      <c r="E13" s="117">
        <f ca="1">'MR 5.65'!D32</f>
        <v>121.25038007556577</v>
      </c>
      <c r="F13" s="117">
        <f ca="1">'MR 5.65'!H32</f>
        <v>1026.9520393497514</v>
      </c>
      <c r="G13" s="119">
        <f ca="1">'MR 5.65'!M32</f>
        <v>13015.381280740679</v>
      </c>
      <c r="H13" s="112">
        <f ca="1">'MR 5.65'!R32</f>
        <v>14179.086161318177</v>
      </c>
      <c r="I13" s="112">
        <f ca="1">'MR 5.65'!W32</f>
        <v>14061.976873825362</v>
      </c>
    </row>
    <row r="14" spans="1:12" x14ac:dyDescent="0.25">
      <c r="B14" s="105" t="s">
        <v>12</v>
      </c>
      <c r="C14" s="121">
        <v>1</v>
      </c>
      <c r="D14" s="147"/>
      <c r="E14" s="117">
        <f ca="1">'MR 5.65'!D33</f>
        <v>142.58587908668659</v>
      </c>
      <c r="F14" s="117">
        <f ca="1">'MR 5.65'!H33</f>
        <v>94.967388534829922</v>
      </c>
      <c r="G14" s="119">
        <f ca="1">'MR 5.65'!M33</f>
        <v>209.71469633760267</v>
      </c>
      <c r="H14" s="112">
        <f ca="1">'MR 5.65'!R33</f>
        <v>195.30694528280293</v>
      </c>
      <c r="I14" s="112">
        <f ca="1">'MR 5.65'!W33</f>
        <v>224.75850148107986</v>
      </c>
      <c r="L14" s="3"/>
    </row>
    <row r="15" spans="1:12" x14ac:dyDescent="0.25">
      <c r="B15" s="104" t="s">
        <v>4</v>
      </c>
      <c r="C15" s="121">
        <v>0.9</v>
      </c>
      <c r="D15" s="147"/>
      <c r="E15" s="117">
        <f ca="1">'MR 5.65'!D34</f>
        <v>1349.0880225398782</v>
      </c>
      <c r="F15" s="117">
        <f ca="1">'MR 5.65'!H34</f>
        <v>1595.1242862514669</v>
      </c>
      <c r="G15" s="119">
        <f ca="1">'MR 5.65'!M34</f>
        <v>2075.4818708236262</v>
      </c>
      <c r="H15" s="112">
        <f ca="1">'MR 5.65'!R34</f>
        <v>2292.7364099083511</v>
      </c>
      <c r="I15" s="112">
        <f ca="1">'MR 5.65'!W34</f>
        <v>2460.1785945316433</v>
      </c>
      <c r="L15" s="3"/>
    </row>
    <row r="16" spans="1:12" x14ac:dyDescent="0.25">
      <c r="B16" s="104" t="s">
        <v>73</v>
      </c>
      <c r="C16" s="121">
        <v>0.75</v>
      </c>
      <c r="D16" s="147"/>
      <c r="E16" s="117">
        <f ca="1">'MR 5.65'!D35</f>
        <v>8630.4368880211678</v>
      </c>
      <c r="F16" s="117">
        <f ca="1">'MR 5.65'!H35</f>
        <v>10263.931263305532</v>
      </c>
      <c r="G16" s="119">
        <f ca="1">'MR 5.65'!M35</f>
        <v>13859.915660302211</v>
      </c>
      <c r="H16" s="112">
        <f ca="1">'MR 5.65'!R35</f>
        <v>14458.251949687517</v>
      </c>
      <c r="I16" s="112">
        <f ca="1">'MR 5.65'!W35</f>
        <v>16335.773020874203</v>
      </c>
      <c r="L16" s="3"/>
    </row>
    <row r="17" spans="1:12" x14ac:dyDescent="0.25">
      <c r="B17" s="104" t="s">
        <v>2</v>
      </c>
      <c r="C17" s="121">
        <v>0.4</v>
      </c>
      <c r="D17" s="147"/>
      <c r="E17" s="117">
        <f ca="1">'MR 5.65'!D36</f>
        <v>14486.167604662583</v>
      </c>
      <c r="F17" s="117">
        <f ca="1">'MR 5.65'!H36</f>
        <v>19826.275032121332</v>
      </c>
      <c r="G17" s="119">
        <f ca="1">'MR 5.65'!M36</f>
        <v>23540.76063772331</v>
      </c>
      <c r="H17" s="112">
        <f ca="1">'MR 5.65'!R36</f>
        <v>25598.792075356941</v>
      </c>
      <c r="I17" s="112">
        <f ca="1">'MR 5.65'!W36</f>
        <v>27575.093358192989</v>
      </c>
      <c r="L17" s="3"/>
    </row>
    <row r="18" spans="1:12" x14ac:dyDescent="0.25">
      <c r="B18" s="104" t="s">
        <v>6</v>
      </c>
      <c r="C18" s="121">
        <v>1</v>
      </c>
      <c r="D18" s="147"/>
      <c r="E18" s="117">
        <f ca="1">'MR 5.65'!D37</f>
        <v>12415.962992365236</v>
      </c>
      <c r="F18" s="117">
        <f ca="1">'MR 5.65'!H37</f>
        <v>14635.464787795056</v>
      </c>
      <c r="G18" s="119">
        <f ca="1">'MR 5.65'!M37</f>
        <v>19610.68083245631</v>
      </c>
      <c r="H18" s="112">
        <f ca="1">'MR 5.65'!R37</f>
        <v>20842.107450927633</v>
      </c>
      <c r="I18" s="112">
        <f ca="1">'MR 5.65'!W37</f>
        <v>23127.261980706808</v>
      </c>
      <c r="L18" s="3"/>
    </row>
    <row r="19" spans="1:12" x14ac:dyDescent="0.25">
      <c r="B19" s="104" t="s">
        <v>5</v>
      </c>
      <c r="C19" s="121">
        <v>0.75</v>
      </c>
      <c r="D19" s="147"/>
      <c r="E19" s="117">
        <f>'MR 5.65'!D38</f>
        <v>8386.7672748024615</v>
      </c>
      <c r="F19" s="117">
        <f ca="1">'MR 5.65'!H38</f>
        <v>10595.155139715062</v>
      </c>
      <c r="G19" s="119">
        <f ca="1">'MR 5.65'!M38</f>
        <v>13215.481728561957</v>
      </c>
      <c r="H19" s="112">
        <f ca="1">'MR 5.65'!R38</f>
        <v>14393.36665137927</v>
      </c>
      <c r="I19" s="112">
        <f ca="1">'MR 5.65'!W38</f>
        <v>15769.915293156126</v>
      </c>
      <c r="L19" s="3"/>
    </row>
    <row r="20" spans="1:12" ht="15.75" thickBot="1" x14ac:dyDescent="0.3">
      <c r="B20" s="104" t="s">
        <v>1</v>
      </c>
      <c r="C20" s="122">
        <v>0.4</v>
      </c>
      <c r="D20" s="147"/>
      <c r="E20" s="117">
        <f ca="1">'MR 5.65'!D39</f>
        <v>15248.597478592194</v>
      </c>
      <c r="F20" s="117">
        <f ca="1">'MR 5.65'!H39</f>
        <v>20869.763191706665</v>
      </c>
      <c r="G20" s="119">
        <f ca="1">'MR 5.65'!M39</f>
        <v>24779.748039708749</v>
      </c>
      <c r="H20" s="112">
        <f ca="1">'MR 5.65'!R39</f>
        <v>26946.096921428358</v>
      </c>
      <c r="I20" s="112">
        <f ca="1">'MR 5.65'!W39</f>
        <v>29026.414061255779</v>
      </c>
      <c r="L20" s="3"/>
    </row>
    <row r="21" spans="1:12" x14ac:dyDescent="0.25">
      <c r="A21" s="110" t="s">
        <v>83</v>
      </c>
      <c r="B21" s="104" t="s">
        <v>84</v>
      </c>
      <c r="C21" s="123"/>
      <c r="D21" s="123"/>
      <c r="E21" s="117">
        <f ca="1">SUM('MR 5.65'!D52:D55)</f>
        <v>3260.6544635476903</v>
      </c>
      <c r="F21" s="117">
        <f ca="1">SUM('MR 5.65'!H52:H55)</f>
        <v>4376.3305689604003</v>
      </c>
      <c r="G21" s="119">
        <f ca="1">SUM('MR 5.65'!M52:M55)</f>
        <v>5272.7313850875644</v>
      </c>
      <c r="H21" s="112">
        <f ca="1">SUM('MR 5.65'!R52:R55)</f>
        <v>5719.0496095313201</v>
      </c>
      <c r="I21" s="112">
        <f ca="1">SUM('MR 5.65'!W52:W55)</f>
        <v>6200.7378123459657</v>
      </c>
    </row>
    <row r="22" spans="1:12" x14ac:dyDescent="0.25">
      <c r="B22" s="104" t="s">
        <v>85</v>
      </c>
      <c r="C22" s="123"/>
      <c r="D22" s="123"/>
      <c r="E22" s="117">
        <f ca="1">SUM('MR 5.65'!D57:D58)</f>
        <v>163.8756929687969</v>
      </c>
      <c r="F22" s="117">
        <f ca="1">SUM('MR 5.65'!H57:H58)</f>
        <v>201.8575557576564</v>
      </c>
      <c r="G22" s="119">
        <f ca="1">SUM('MR 5.65'!M57:M58)</f>
        <v>258.45515823853179</v>
      </c>
      <c r="H22" s="112">
        <f ca="1">SUM('MR 5.65'!R57:R58)</f>
        <v>278.94795111616162</v>
      </c>
      <c r="I22" s="112">
        <f ca="1">SUM('MR 5.65'!W57:W58)</f>
        <v>307.06306590408417</v>
      </c>
    </row>
    <row r="23" spans="1:12" x14ac:dyDescent="0.25">
      <c r="B23" s="104" t="s">
        <v>86</v>
      </c>
      <c r="C23" s="123"/>
      <c r="D23" s="123"/>
      <c r="E23" s="117">
        <f ca="1">'MR 5.65'!D56+'MR 5.65'!D59</f>
        <v>3812.1493696480484</v>
      </c>
      <c r="F23" s="117">
        <f ca="1">'MR 5.65'!H56+'MR 5.65'!H59</f>
        <v>5217.4407979266662</v>
      </c>
      <c r="G23" s="119">
        <f ca="1">'MR 5.65'!M56+'MR 5.65'!M59</f>
        <v>6194.9370099271873</v>
      </c>
      <c r="H23" s="112">
        <f ca="1">'MR 5.65'!R56+'MR 5.65'!R59</f>
        <v>6736.5242303570894</v>
      </c>
      <c r="I23" s="112">
        <f ca="1">'MR 5.65'!W56+'MR 5.65'!W59</f>
        <v>7256.6035153139446</v>
      </c>
    </row>
    <row r="24" spans="1:12" x14ac:dyDescent="0.25">
      <c r="A24" s="178" t="s">
        <v>20</v>
      </c>
      <c r="B24" s="106" t="s">
        <v>53</v>
      </c>
      <c r="E24" s="101">
        <f ca="1">SUM('MR 5.65'!D40,'MR 5.65'!D50)/'I-O 5.65'!E3</f>
        <v>0.36857874853664785</v>
      </c>
      <c r="F24" s="101">
        <f ca="1">SUM('MR 5.65'!H40,'MR 5.65'!H50)/'I-O 5.65'!F3</f>
        <v>0.35716852151483164</v>
      </c>
      <c r="G24" s="86">
        <f ca="1">SUM('MR 5.65'!M40,'MR 5.65'!M50)/'I-O 5.65'!G3</f>
        <v>0.43515491787936195</v>
      </c>
      <c r="H24" s="71">
        <f ca="1">SUM('MR 5.65'!R40,'MR 5.65'!R50)/'I-O 5.65'!H3</f>
        <v>0.43155068841018024</v>
      </c>
      <c r="I24" s="71">
        <f ca="1">SUM('MR 5.65'!W40,'MR 5.65'!W50)/'I-O 5.65'!I3</f>
        <v>0.42956966679061709</v>
      </c>
    </row>
    <row r="25" spans="1:12" x14ac:dyDescent="0.25">
      <c r="A25" s="178"/>
      <c r="B25" s="106" t="s">
        <v>54</v>
      </c>
      <c r="E25" s="101">
        <f ca="1">SUM('MR 5.65'!D37:D38)/'I-O 5.65'!E3</f>
        <v>0.12614900031026621</v>
      </c>
      <c r="F25" s="101">
        <f ca="1">SUM('MR 5.65'!H37:H38)/'I-O 5.65'!F3</f>
        <v>0.11420420128055615</v>
      </c>
      <c r="G25" s="86">
        <f ca="1">SUM('MR 5.65'!M37:M38)/'I-O 5.65'!G3</f>
        <v>0.12949717369984104</v>
      </c>
      <c r="H25" s="71">
        <f ca="1">SUM('MR 5.65'!R37:R38)/'I-O 5.65'!H3</f>
        <v>0.12788190478854733</v>
      </c>
      <c r="I25" s="71">
        <f ca="1">SUM('MR 5.65'!W37:W38)/'I-O 5.65'!I3</f>
        <v>0.12994920851902014</v>
      </c>
      <c r="K25" s="7"/>
    </row>
    <row r="26" spans="1:12" x14ac:dyDescent="0.25">
      <c r="E26" s="101"/>
      <c r="F26" s="101"/>
      <c r="G26" s="86"/>
      <c r="H26" s="71"/>
      <c r="I26" s="71"/>
      <c r="K26" s="7"/>
    </row>
    <row r="27" spans="1:12" x14ac:dyDescent="0.25">
      <c r="B27" s="106" t="s">
        <v>98</v>
      </c>
      <c r="E27" s="101">
        <f ca="1">SUM(E13:E16,E18:E19)/'I-O 5.65'!E11</f>
        <v>0.23521386105742809</v>
      </c>
      <c r="F27" s="101">
        <f ca="1">SUM(F13:F16,F18:F19)/'I-O 5.65'!F11</f>
        <v>0.21642568620615729</v>
      </c>
      <c r="G27" s="86">
        <f ca="1">SUM(G13:G16,G18:G19)/'I-O 5.65'!G11</f>
        <v>0.30933522691052939</v>
      </c>
      <c r="H27" s="71">
        <f ca="1">SUM(H13:H16,H18:H19)/'I-O 5.65'!H11</f>
        <v>0.30483647370488348</v>
      </c>
      <c r="I27" s="71">
        <f ca="1">SUM(I13:I16,I18:I19)/'I-O 5.65'!I11</f>
        <v>0.30391097359029789</v>
      </c>
      <c r="K27" s="7"/>
    </row>
    <row r="28" spans="1:12" x14ac:dyDescent="0.25">
      <c r="A28" s="111"/>
      <c r="B28" s="106" t="s">
        <v>69</v>
      </c>
      <c r="E28" s="101">
        <f ca="1">(E3-$D$3)/$D$3</f>
        <v>5.2498220592647325E-2</v>
      </c>
      <c r="F28" s="101">
        <f ca="1">(F3-$D$3)/$D$3</f>
        <v>0.41003757572791921</v>
      </c>
      <c r="G28" s="86">
        <f ca="1">(G3-$D$3)/$D$3</f>
        <v>0.61787390949038468</v>
      </c>
      <c r="H28" s="71">
        <f ca="1">(H3-$D$3)/$D$3</f>
        <v>0.75855464697324748</v>
      </c>
      <c r="I28" s="71">
        <f ca="1">(I3-$D$3)/$D$3</f>
        <v>0.91042192223616292</v>
      </c>
    </row>
    <row r="29" spans="1:12" ht="15.75" thickBot="1" x14ac:dyDescent="0.3">
      <c r="B29" s="106" t="s">
        <v>87</v>
      </c>
      <c r="E29" s="117">
        <f ca="1">'MR 5.65'!D5</f>
        <v>84676.679708957876</v>
      </c>
      <c r="F29" s="117">
        <f ca="1">'MR 5.65'!H5</f>
        <v>115323.11571752014</v>
      </c>
      <c r="G29" s="124">
        <f ca="1">'MR 5.65'!M5</f>
        <v>124892.8747322433</v>
      </c>
      <c r="H29" s="112">
        <f ca="1">'MR 5.65'!R5</f>
        <v>135792.98193237919</v>
      </c>
      <c r="I29" s="112">
        <f ca="1">'MR 5.65'!W5</f>
        <v>147466.61877995991</v>
      </c>
    </row>
    <row r="30" spans="1:12" x14ac:dyDescent="0.25">
      <c r="B30" s="106" t="s">
        <v>97</v>
      </c>
      <c r="E30" s="125">
        <f ca="1">'MR 5.65'!D36*100/'MR 5.65'!D26</f>
        <v>38</v>
      </c>
      <c r="F30" s="125">
        <f ca="1">'MR 5.65'!H36*100/'MR 5.65'!H26</f>
        <v>38</v>
      </c>
      <c r="G30" s="125">
        <f ca="1">'MR 5.65'!M36*100/'MR 5.65'!M26</f>
        <v>38</v>
      </c>
      <c r="H30" s="125">
        <f ca="1">'MR 5.65'!R36*100/'MR 5.65'!R26</f>
        <v>38.000000000000007</v>
      </c>
      <c r="I30" s="125">
        <f ca="1">'MR 5.65'!W36*100/'MR 5.65'!W26</f>
        <v>38</v>
      </c>
    </row>
    <row r="31" spans="1:12" ht="15.75" thickBot="1" x14ac:dyDescent="0.3">
      <c r="G31" s="71"/>
    </row>
    <row r="32" spans="1:12" x14ac:dyDescent="0.25">
      <c r="B32" s="107"/>
      <c r="C32" s="126"/>
      <c r="D32" s="126"/>
      <c r="E32" s="127" t="s">
        <v>55</v>
      </c>
      <c r="F32" s="127" t="s">
        <v>31</v>
      </c>
      <c r="G32" s="128" t="s">
        <v>32</v>
      </c>
    </row>
    <row r="33" spans="1:9" ht="15.75" thickBot="1" x14ac:dyDescent="0.3">
      <c r="B33" s="108" t="s">
        <v>82</v>
      </c>
      <c r="C33" s="129"/>
      <c r="D33" s="129"/>
      <c r="E33" s="130">
        <f ca="1">'MR 5.65'!C2</f>
        <v>-7.2475359047530219E-13</v>
      </c>
      <c r="F33" s="131">
        <f ca="1">'MR 5.65'!D2</f>
        <v>0</v>
      </c>
      <c r="G33" s="132">
        <f ca="1">'MR 5.65'!E2</f>
        <v>0</v>
      </c>
    </row>
    <row r="35" spans="1:9" ht="15.75" thickBot="1" x14ac:dyDescent="0.3">
      <c r="A35" s="110" t="s">
        <v>92</v>
      </c>
    </row>
    <row r="36" spans="1:9" ht="15.75" thickBot="1" x14ac:dyDescent="0.3">
      <c r="A36" s="12"/>
      <c r="B36" s="140" t="s">
        <v>101</v>
      </c>
      <c r="C36" s="141">
        <v>185569</v>
      </c>
      <c r="D36" s="148"/>
      <c r="E36" s="112">
        <v>305000</v>
      </c>
    </row>
    <row r="37" spans="1:9" x14ac:dyDescent="0.25">
      <c r="A37" s="111"/>
      <c r="B37" s="109" t="s">
        <v>93</v>
      </c>
      <c r="C37" s="112">
        <v>6250</v>
      </c>
      <c r="E37" s="112">
        <v>6000</v>
      </c>
    </row>
    <row r="38" spans="1:9" x14ac:dyDescent="0.25">
      <c r="B38" s="109" t="s">
        <v>94</v>
      </c>
      <c r="C38" s="112">
        <v>49914</v>
      </c>
      <c r="E38" s="112">
        <v>50000</v>
      </c>
    </row>
    <row r="39" spans="1:9" x14ac:dyDescent="0.25">
      <c r="B39" s="109" t="s">
        <v>95</v>
      </c>
      <c r="C39" s="112">
        <f>C36-C37-C38</f>
        <v>129405</v>
      </c>
      <c r="E39" s="112">
        <f>E36-E37-E38</f>
        <v>249000</v>
      </c>
      <c r="F39" s="142">
        <f>E39/C39</f>
        <v>1.9241914918279819</v>
      </c>
    </row>
    <row r="40" spans="1:9" x14ac:dyDescent="0.25">
      <c r="C40" s="133"/>
      <c r="D40" s="133"/>
      <c r="E40" s="133"/>
    </row>
    <row r="41" spans="1:9" ht="15.75" thickBot="1" x14ac:dyDescent="0.3">
      <c r="F41" s="168">
        <v>5</v>
      </c>
      <c r="G41" s="168">
        <v>10</v>
      </c>
      <c r="H41" s="168">
        <v>15</v>
      </c>
      <c r="I41" s="168">
        <v>20</v>
      </c>
    </row>
    <row r="42" spans="1:9" ht="15.75" thickBot="1" x14ac:dyDescent="0.3">
      <c r="A42" s="110" t="s">
        <v>99</v>
      </c>
      <c r="F42" s="167"/>
      <c r="G42" s="167"/>
      <c r="H42" s="167"/>
      <c r="I42" s="12"/>
    </row>
    <row r="43" spans="1:9" x14ac:dyDescent="0.25">
      <c r="B43" s="106" t="s">
        <v>124</v>
      </c>
      <c r="C43" s="12"/>
      <c r="D43" s="112">
        <f>'Entradas 5.65'!I67</f>
        <v>129405</v>
      </c>
      <c r="E43" s="112">
        <f>'Entradas 5.65'!J67</f>
        <v>129405</v>
      </c>
      <c r="F43" s="164">
        <f>'Entradas 5.65'!N67</f>
        <v>129405</v>
      </c>
      <c r="G43" s="134">
        <f>'Entradas 5.65'!S67</f>
        <v>129405</v>
      </c>
      <c r="H43" s="134">
        <f>'Entradas 5.65'!X67</f>
        <v>129405</v>
      </c>
      <c r="I43" s="135">
        <f>'Entradas 5.65'!AC67</f>
        <v>129405</v>
      </c>
    </row>
    <row r="44" spans="1:9" x14ac:dyDescent="0.25">
      <c r="B44" s="106" t="s">
        <v>100</v>
      </c>
      <c r="C44" s="12"/>
      <c r="D44" s="112">
        <f>'Entradas 5.65'!I69</f>
        <v>129405</v>
      </c>
      <c r="E44" s="112">
        <f>'Entradas 5.65'!J69</f>
        <v>130986</v>
      </c>
      <c r="F44" s="165">
        <f>'Entradas 5.65'!N69</f>
        <v>151986</v>
      </c>
      <c r="G44" s="136">
        <f>'Entradas 5.65'!S69</f>
        <v>167220</v>
      </c>
      <c r="H44" s="136">
        <f>'Entradas 5.65'!X69</f>
        <v>182471</v>
      </c>
      <c r="I44" s="137">
        <f>'Entradas 5.65'!AC69</f>
        <v>202178</v>
      </c>
    </row>
    <row r="45" spans="1:9" x14ac:dyDescent="0.25">
      <c r="B45" s="106" t="s">
        <v>102</v>
      </c>
      <c r="C45" s="12"/>
      <c r="D45" s="112">
        <f>'Entradas 5.65'!I69</f>
        <v>129405</v>
      </c>
      <c r="E45" s="112">
        <f>'Entradas 5.65'!J69</f>
        <v>130986</v>
      </c>
      <c r="F45" s="165">
        <f>'Entradas 5.65'!N69</f>
        <v>151986</v>
      </c>
      <c r="G45" s="136">
        <f>'Entradas 5.65'!S69</f>
        <v>167220</v>
      </c>
      <c r="H45" s="136">
        <f>'Entradas 5.65'!X69</f>
        <v>182471</v>
      </c>
      <c r="I45" s="137">
        <f>'Entradas 5.65'!AC69</f>
        <v>202178</v>
      </c>
    </row>
    <row r="46" spans="1:9" ht="15.75" thickBot="1" x14ac:dyDescent="0.3">
      <c r="B46" s="106" t="s">
        <v>103</v>
      </c>
      <c r="C46" s="12"/>
      <c r="D46" s="112">
        <f>'Entradas 5.65'!I70</f>
        <v>129405</v>
      </c>
      <c r="E46" s="112">
        <f>'Entradas 5.65'!J70</f>
        <v>144621</v>
      </c>
      <c r="F46" s="166">
        <f>'Entradas 5.65'!N70</f>
        <v>192210</v>
      </c>
      <c r="G46" s="138">
        <f>'Entradas 5.65'!S70</f>
        <v>210353</v>
      </c>
      <c r="H46" s="138">
        <f>'Entradas 5.65'!X70</f>
        <v>228767</v>
      </c>
      <c r="I46" s="139">
        <f>'Entradas 5.65'!AC70</f>
        <v>248491</v>
      </c>
    </row>
    <row r="47" spans="1:9" ht="15.75" thickBot="1" x14ac:dyDescent="0.3">
      <c r="B47" s="12" t="s">
        <v>134</v>
      </c>
      <c r="C47" s="12"/>
      <c r="D47" s="112">
        <f>'Entradas 5.65'!I71</f>
        <v>129405</v>
      </c>
      <c r="E47" s="112">
        <f>'Entradas 5.65'!J71</f>
        <v>144621</v>
      </c>
      <c r="F47" s="166">
        <f>'Entradas 5.65'!N71</f>
        <v>192210</v>
      </c>
      <c r="G47" s="138">
        <f>'Entradas 5.65'!S71</f>
        <v>210353</v>
      </c>
      <c r="H47" s="138">
        <f>'Entradas 5.65'!X71</f>
        <v>228767</v>
      </c>
      <c r="I47" s="139">
        <f>'Entradas 5.65'!AC71</f>
        <v>248491</v>
      </c>
    </row>
    <row r="49" spans="1:9" ht="15" customHeight="1" x14ac:dyDescent="0.25">
      <c r="A49" s="180" t="s">
        <v>104</v>
      </c>
      <c r="B49" s="106" t="s">
        <v>124</v>
      </c>
      <c r="C49" s="112">
        <f>$C$39-$D$11</f>
        <v>5639.3757441879425</v>
      </c>
      <c r="D49" s="143">
        <f t="shared" ref="D49:I50" si="0">D43-D$11</f>
        <v>5639.3757441879425</v>
      </c>
      <c r="E49" s="143">
        <f t="shared" ca="1" si="0"/>
        <v>-2585.9094528702553</v>
      </c>
      <c r="F49" s="143">
        <f t="shared" ca="1" si="0"/>
        <v>-47152.577683053125</v>
      </c>
      <c r="G49" s="143">
        <f t="shared" ca="1" si="0"/>
        <v>-70981.670112909924</v>
      </c>
      <c r="H49" s="143">
        <f t="shared" ca="1" si="0"/>
        <v>-88288.292282171751</v>
      </c>
      <c r="I49" s="143">
        <f t="shared" ca="1" si="0"/>
        <v>-107440.22942436166</v>
      </c>
    </row>
    <row r="50" spans="1:9" ht="15" customHeight="1" x14ac:dyDescent="0.25">
      <c r="A50" s="180"/>
      <c r="B50" s="106" t="s">
        <v>100</v>
      </c>
      <c r="C50" s="112">
        <f>$C$39-$D$11</f>
        <v>5639.3757441879425</v>
      </c>
      <c r="D50" s="143">
        <f t="shared" si="0"/>
        <v>5639.3757441879425</v>
      </c>
      <c r="E50" s="143">
        <f t="shared" ca="1" si="0"/>
        <v>-1004.9094528702553</v>
      </c>
      <c r="F50" s="143">
        <f t="shared" ca="1" si="0"/>
        <v>-24571.577683053125</v>
      </c>
      <c r="G50" s="143">
        <f t="shared" ca="1" si="0"/>
        <v>-33166.670112909924</v>
      </c>
      <c r="H50" s="143">
        <f t="shared" ca="1" si="0"/>
        <v>-35222.292282171751</v>
      </c>
      <c r="I50" s="143">
        <f t="shared" ca="1" si="0"/>
        <v>-34667.229424361663</v>
      </c>
    </row>
    <row r="51" spans="1:9" x14ac:dyDescent="0.25">
      <c r="A51" s="180"/>
      <c r="B51" s="106" t="s">
        <v>102</v>
      </c>
      <c r="C51" s="112">
        <f>$C$39-$D$11</f>
        <v>5639.3757441879425</v>
      </c>
      <c r="D51" s="143">
        <f t="shared" ref="D51:E51" si="1">D45-D$11</f>
        <v>5639.3757441879425</v>
      </c>
      <c r="E51" s="143">
        <f t="shared" ca="1" si="1"/>
        <v>-1004.9094528702553</v>
      </c>
      <c r="F51" s="143">
        <f t="shared" ref="F51:I51" ca="1" si="2">F45-F$11</f>
        <v>-24571.577683053125</v>
      </c>
      <c r="G51" s="143">
        <f t="shared" ca="1" si="2"/>
        <v>-33166.670112909924</v>
      </c>
      <c r="H51" s="143">
        <f t="shared" ca="1" si="2"/>
        <v>-35222.292282171751</v>
      </c>
      <c r="I51" s="143">
        <f t="shared" ca="1" si="2"/>
        <v>-34667.229424361663</v>
      </c>
    </row>
    <row r="52" spans="1:9" x14ac:dyDescent="0.25">
      <c r="A52" s="180"/>
      <c r="B52" s="106" t="s">
        <v>103</v>
      </c>
      <c r="C52" s="112">
        <f>$C$39-$D$11</f>
        <v>5639.3757441879425</v>
      </c>
      <c r="D52" s="143">
        <f t="shared" ref="D52:E53" si="3">D46-D$11</f>
        <v>5639.3757441879425</v>
      </c>
      <c r="E52" s="143">
        <f t="shared" ca="1" si="3"/>
        <v>12630.090547129745</v>
      </c>
      <c r="F52" s="143">
        <f t="shared" ref="F52:I53" ca="1" si="4">F46-F$11</f>
        <v>15652.422316946875</v>
      </c>
      <c r="G52" s="143">
        <f t="shared" ca="1" si="4"/>
        <v>9966.3298870900762</v>
      </c>
      <c r="H52" s="143">
        <f t="shared" ca="1" si="4"/>
        <v>11073.707717828249</v>
      </c>
      <c r="I52" s="143">
        <f t="shared" ca="1" si="4"/>
        <v>11645.770575638337</v>
      </c>
    </row>
    <row r="53" spans="1:9" x14ac:dyDescent="0.25">
      <c r="A53" s="180"/>
      <c r="B53" s="12" t="s">
        <v>134</v>
      </c>
      <c r="C53" s="112">
        <f>$C$39-$D$11</f>
        <v>5639.3757441879425</v>
      </c>
      <c r="D53" s="143">
        <f t="shared" si="3"/>
        <v>5639.3757441879425</v>
      </c>
      <c r="E53" s="143">
        <f t="shared" ca="1" si="3"/>
        <v>12630.090547129745</v>
      </c>
      <c r="F53" s="143">
        <f t="shared" ca="1" si="4"/>
        <v>15652.422316946875</v>
      </c>
      <c r="G53" s="143">
        <f t="shared" ca="1" si="4"/>
        <v>9966.3298870900762</v>
      </c>
      <c r="H53" s="143">
        <f t="shared" ca="1" si="4"/>
        <v>11073.707717828249</v>
      </c>
      <c r="I53" s="143">
        <f t="shared" ca="1" si="4"/>
        <v>11645.770575638337</v>
      </c>
    </row>
    <row r="54" spans="1:9" x14ac:dyDescent="0.25">
      <c r="D54" s="103"/>
      <c r="E54" s="103"/>
    </row>
    <row r="55" spans="1:9" x14ac:dyDescent="0.25">
      <c r="A55" s="180" t="s">
        <v>108</v>
      </c>
      <c r="B55" s="106" t="s">
        <v>124</v>
      </c>
      <c r="D55" s="146">
        <f t="shared" ref="D55:I57" si="5">D49/D43</f>
        <v>4.3579272394327441E-2</v>
      </c>
      <c r="E55" s="146">
        <f t="shared" ca="1" si="5"/>
        <v>-1.9983072160042158E-2</v>
      </c>
      <c r="F55" s="146">
        <f t="shared" ca="1" si="5"/>
        <v>-0.3643798746806779</v>
      </c>
      <c r="G55" s="146">
        <f t="shared" ca="1" si="5"/>
        <v>-0.54852339641366199</v>
      </c>
      <c r="H55" s="146">
        <f t="shared" ca="1" si="5"/>
        <v>-0.68226337685693561</v>
      </c>
      <c r="I55" s="146">
        <f t="shared" ca="1" si="5"/>
        <v>-0.8302633547727033</v>
      </c>
    </row>
    <row r="56" spans="1:9" x14ac:dyDescent="0.25">
      <c r="A56" s="180"/>
      <c r="B56" s="106" t="s">
        <v>100</v>
      </c>
      <c r="D56" s="146">
        <f t="shared" si="5"/>
        <v>4.3579272394327441E-2</v>
      </c>
      <c r="E56" s="146">
        <f t="shared" ca="1" si="5"/>
        <v>-7.6718844217722147E-3</v>
      </c>
      <c r="F56" s="146">
        <f t="shared" ca="1" si="5"/>
        <v>-0.16167000699441478</v>
      </c>
      <c r="G56" s="146">
        <f t="shared" ca="1" si="5"/>
        <v>-0.19834152680845546</v>
      </c>
      <c r="H56" s="146">
        <f t="shared" ca="1" si="5"/>
        <v>-0.19302953500650377</v>
      </c>
      <c r="I56" s="146">
        <f t="shared" ca="1" si="5"/>
        <v>-0.17146885133081574</v>
      </c>
    </row>
    <row r="57" spans="1:9" x14ac:dyDescent="0.25">
      <c r="A57" s="180"/>
      <c r="B57" s="106" t="s">
        <v>102</v>
      </c>
      <c r="D57" s="146">
        <f t="shared" si="5"/>
        <v>4.3579272394327441E-2</v>
      </c>
      <c r="E57" s="146">
        <f t="shared" ca="1" si="5"/>
        <v>-7.6718844217722147E-3</v>
      </c>
      <c r="F57" s="146">
        <f t="shared" ca="1" si="5"/>
        <v>-0.16167000699441478</v>
      </c>
      <c r="G57" s="146">
        <f t="shared" ca="1" si="5"/>
        <v>-0.19834152680845546</v>
      </c>
      <c r="H57" s="146">
        <f t="shared" ca="1" si="5"/>
        <v>-0.19302953500650377</v>
      </c>
      <c r="I57" s="146">
        <f t="shared" ca="1" si="5"/>
        <v>-0.17146885133081574</v>
      </c>
    </row>
    <row r="58" spans="1:9" x14ac:dyDescent="0.25">
      <c r="A58" s="180"/>
      <c r="B58" s="106" t="s">
        <v>103</v>
      </c>
      <c r="D58" s="146">
        <f t="shared" ref="D58:I59" si="6">D52/D46</f>
        <v>4.3579272394327441E-2</v>
      </c>
      <c r="E58" s="146">
        <f t="shared" ca="1" si="6"/>
        <v>8.7332341410512618E-2</v>
      </c>
      <c r="F58" s="146">
        <f t="shared" ca="1" si="6"/>
        <v>8.1433964502090811E-2</v>
      </c>
      <c r="G58" s="146">
        <f t="shared" ca="1" si="6"/>
        <v>4.7379071784524475E-2</v>
      </c>
      <c r="H58" s="146">
        <f t="shared" ca="1" si="6"/>
        <v>4.8406053835685428E-2</v>
      </c>
      <c r="I58" s="146">
        <f t="shared" ca="1" si="6"/>
        <v>4.6865965268916523E-2</v>
      </c>
    </row>
    <row r="59" spans="1:9" x14ac:dyDescent="0.25">
      <c r="A59" s="180"/>
      <c r="B59" s="12" t="s">
        <v>134</v>
      </c>
      <c r="D59" s="146">
        <f t="shared" si="6"/>
        <v>4.3579272394327441E-2</v>
      </c>
      <c r="E59" s="146">
        <f t="shared" ca="1" si="6"/>
        <v>8.7332341410512618E-2</v>
      </c>
      <c r="F59" s="146">
        <f t="shared" ca="1" si="6"/>
        <v>8.1433964502090811E-2</v>
      </c>
      <c r="G59" s="146">
        <f t="shared" ca="1" si="6"/>
        <v>4.7379071784524475E-2</v>
      </c>
      <c r="H59" s="146">
        <f t="shared" ca="1" si="6"/>
        <v>4.8406053835685428E-2</v>
      </c>
      <c r="I59" s="146">
        <f t="shared" ca="1" si="6"/>
        <v>4.6865965268916523E-2</v>
      </c>
    </row>
    <row r="62" spans="1:9" x14ac:dyDescent="0.25">
      <c r="A62" s="110" t="s">
        <v>9</v>
      </c>
      <c r="B62" s="106" t="s">
        <v>114</v>
      </c>
      <c r="E62" s="112">
        <f ca="1">E4+E5</f>
        <v>86788.129627445334</v>
      </c>
      <c r="F62" s="112">
        <f ca="1">F4+F5</f>
        <v>117822.83237682362</v>
      </c>
      <c r="G62" s="112">
        <f ca="1">G4+G5</f>
        <v>128161.88103936434</v>
      </c>
      <c r="H62" s="112">
        <f ca="1">H4+H5</f>
        <v>139374.3362129264</v>
      </c>
      <c r="I62" s="112">
        <f ca="1">I4+I5</f>
        <v>151338.49868959008</v>
      </c>
    </row>
    <row r="63" spans="1:9" x14ac:dyDescent="0.25">
      <c r="B63" s="106" t="s">
        <v>115</v>
      </c>
      <c r="E63" s="112">
        <f ca="1">E6+E7</f>
        <v>22944.409960657442</v>
      </c>
      <c r="F63" s="112">
        <f ca="1">F6+F7</f>
        <v>28904.385628295444</v>
      </c>
      <c r="G63" s="112">
        <f ca="1">G6+G7</f>
        <v>36282.904621195063</v>
      </c>
      <c r="H63" s="112">
        <f ca="1">H6+H7</f>
        <v>39294.213011831038</v>
      </c>
      <c r="I63" s="112">
        <f ca="1">I6+I7</f>
        <v>43251.854191409642</v>
      </c>
    </row>
    <row r="64" spans="1:9" x14ac:dyDescent="0.25">
      <c r="B64" s="106" t="s">
        <v>85</v>
      </c>
      <c r="E64" s="112">
        <f ca="1">E9</f>
        <v>12477.41301308736</v>
      </c>
      <c r="F64" s="112">
        <f ca="1">F9</f>
        <v>15762.942059111083</v>
      </c>
      <c r="G64" s="112">
        <f ca="1">G9</f>
        <v>19661.33294166805</v>
      </c>
      <c r="H64" s="112">
        <f ca="1">H9</f>
        <v>21413.731235589508</v>
      </c>
      <c r="I64" s="112">
        <f ca="1">I9</f>
        <v>23461.691477393026</v>
      </c>
    </row>
    <row r="65" spans="1:9" x14ac:dyDescent="0.25">
      <c r="B65" s="106" t="s">
        <v>86</v>
      </c>
      <c r="D65" s="12"/>
      <c r="E65" s="112">
        <f ca="1">E8+E10</f>
        <v>42696.072940058133</v>
      </c>
      <c r="F65" s="112">
        <f ca="1">F8+F10</f>
        <v>58435.336936778651</v>
      </c>
      <c r="G65" s="112">
        <f ca="1">G8+G10</f>
        <v>69383.294511184475</v>
      </c>
      <c r="H65" s="112">
        <f ca="1">H8+H10</f>
        <v>75449.071379999397</v>
      </c>
      <c r="I65" s="112">
        <f ca="1">I8+I10</f>
        <v>81273.959371516175</v>
      </c>
    </row>
    <row r="66" spans="1:9" x14ac:dyDescent="0.25">
      <c r="B66" s="106" t="s">
        <v>21</v>
      </c>
      <c r="D66" s="12"/>
      <c r="E66" s="112">
        <f ca="1">E3</f>
        <v>164906.02554124827</v>
      </c>
      <c r="F66" s="112">
        <f ca="1">F3</f>
        <v>220925.49700100883</v>
      </c>
      <c r="G66" s="112">
        <f ca="1">G3</f>
        <v>253489.41311341195</v>
      </c>
      <c r="H66" s="112">
        <f ca="1">H3</f>
        <v>275531.35184034635</v>
      </c>
      <c r="I66" s="112">
        <f ca="1">I3</f>
        <v>299326.00372990896</v>
      </c>
    </row>
    <row r="67" spans="1:9" x14ac:dyDescent="0.25">
      <c r="B67" s="106" t="s">
        <v>69</v>
      </c>
      <c r="D67" s="12"/>
      <c r="E67" s="71">
        <f ca="1">E28</f>
        <v>5.2498220592647325E-2</v>
      </c>
      <c r="F67" s="71">
        <f ca="1">F28</f>
        <v>0.41003757572791921</v>
      </c>
      <c r="G67" s="71">
        <f ca="1">G28</f>
        <v>0.61787390949038468</v>
      </c>
      <c r="H67" s="71">
        <f ca="1">H28</f>
        <v>0.75855464697324748</v>
      </c>
      <c r="I67" s="71">
        <f ca="1">I28</f>
        <v>0.91042192223616292</v>
      </c>
    </row>
    <row r="68" spans="1:9" x14ac:dyDescent="0.25">
      <c r="A68" s="110" t="s">
        <v>117</v>
      </c>
      <c r="B68" s="106" t="s">
        <v>114</v>
      </c>
      <c r="D68" s="12"/>
      <c r="E68" s="112">
        <f ca="1">E13+E14</f>
        <v>263.83625916225236</v>
      </c>
      <c r="F68" s="112">
        <f t="shared" ref="F68:I68" ca="1" si="7">F13+F14</f>
        <v>1121.9194278845814</v>
      </c>
      <c r="G68" s="112">
        <f t="shared" ca="1" si="7"/>
        <v>13225.095977078283</v>
      </c>
      <c r="H68" s="112">
        <f t="shared" ca="1" si="7"/>
        <v>14374.393106600979</v>
      </c>
      <c r="I68" s="112">
        <f t="shared" ca="1" si="7"/>
        <v>14286.735375306442</v>
      </c>
    </row>
    <row r="69" spans="1:9" x14ac:dyDescent="0.25">
      <c r="B69" s="106" t="s">
        <v>115</v>
      </c>
      <c r="D69" s="12"/>
      <c r="E69" s="112">
        <f ca="1">E15+E16</f>
        <v>9979.5249105610455</v>
      </c>
      <c r="F69" s="112">
        <f t="shared" ref="F69:I69" ca="1" si="8">F15+F16</f>
        <v>11859.055549556999</v>
      </c>
      <c r="G69" s="112">
        <f t="shared" ca="1" si="8"/>
        <v>15935.397531125836</v>
      </c>
      <c r="H69" s="112">
        <f t="shared" ca="1" si="8"/>
        <v>16750.988359595867</v>
      </c>
      <c r="I69" s="112">
        <f t="shared" ca="1" si="8"/>
        <v>18795.951615405847</v>
      </c>
    </row>
    <row r="70" spans="1:9" x14ac:dyDescent="0.25">
      <c r="B70" s="106" t="s">
        <v>85</v>
      </c>
      <c r="D70" s="12"/>
      <c r="E70" s="112">
        <f ca="1">E18+E19</f>
        <v>20802.730267167695</v>
      </c>
      <c r="F70" s="112">
        <f t="shared" ref="F70:I70" ca="1" si="9">F18+F19</f>
        <v>25230.619927510117</v>
      </c>
      <c r="G70" s="112">
        <f t="shared" ca="1" si="9"/>
        <v>32826.162561018267</v>
      </c>
      <c r="H70" s="112">
        <f t="shared" ca="1" si="9"/>
        <v>35235.474102306907</v>
      </c>
      <c r="I70" s="112">
        <f t="shared" ca="1" si="9"/>
        <v>38897.177273862937</v>
      </c>
    </row>
    <row r="71" spans="1:9" x14ac:dyDescent="0.25">
      <c r="B71" s="106" t="s">
        <v>86</v>
      </c>
      <c r="D71" s="12"/>
      <c r="E71" s="112">
        <f ca="1">E17+E20</f>
        <v>29734.765083254777</v>
      </c>
      <c r="F71" s="112">
        <f t="shared" ref="F71:I71" ca="1" si="10">F17+F20</f>
        <v>40696.038223828</v>
      </c>
      <c r="G71" s="112">
        <f t="shared" ca="1" si="10"/>
        <v>48320.508677432059</v>
      </c>
      <c r="H71" s="112">
        <f t="shared" ca="1" si="10"/>
        <v>52544.888996785303</v>
      </c>
      <c r="I71" s="112">
        <f t="shared" ca="1" si="10"/>
        <v>56601.507419448768</v>
      </c>
    </row>
    <row r="72" spans="1:9" x14ac:dyDescent="0.25">
      <c r="B72" s="106" t="s">
        <v>21</v>
      </c>
      <c r="D72" s="12"/>
      <c r="E72" s="112">
        <f ca="1">SUM(E68:E71)</f>
        <v>60780.856520145768</v>
      </c>
      <c r="F72" s="112">
        <f t="shared" ref="F72:I72" ca="1" si="11">SUM(F68:F71)</f>
        <v>78907.633128779693</v>
      </c>
      <c r="G72" s="112">
        <f t="shared" ca="1" si="11"/>
        <v>110307.16474665445</v>
      </c>
      <c r="H72" s="112">
        <f t="shared" ca="1" si="11"/>
        <v>118905.74456528906</v>
      </c>
      <c r="I72" s="112">
        <f t="shared" ca="1" si="11"/>
        <v>128581.37168402399</v>
      </c>
    </row>
    <row r="73" spans="1:9" x14ac:dyDescent="0.25">
      <c r="A73" s="110" t="s">
        <v>116</v>
      </c>
      <c r="B73" s="106" t="s">
        <v>21</v>
      </c>
      <c r="D73" s="12"/>
      <c r="E73" s="71">
        <f t="shared" ref="E73:I74" ca="1" si="12">E24</f>
        <v>0.36857874853664785</v>
      </c>
      <c r="F73" s="71">
        <f t="shared" ca="1" si="12"/>
        <v>0.35716852151483164</v>
      </c>
      <c r="G73" s="71">
        <f t="shared" ca="1" si="12"/>
        <v>0.43515491787936195</v>
      </c>
      <c r="H73" s="71">
        <f t="shared" ca="1" si="12"/>
        <v>0.43155068841018024</v>
      </c>
      <c r="I73" s="71">
        <f t="shared" ca="1" si="12"/>
        <v>0.42956966679061709</v>
      </c>
    </row>
    <row r="74" spans="1:9" ht="15.75" thickBot="1" x14ac:dyDescent="0.3">
      <c r="B74" s="106" t="s">
        <v>85</v>
      </c>
      <c r="D74" s="12"/>
      <c r="E74" s="71">
        <f t="shared" ca="1" si="12"/>
        <v>0.12614900031026621</v>
      </c>
      <c r="F74" s="71">
        <f t="shared" ca="1" si="12"/>
        <v>0.11420420128055615</v>
      </c>
      <c r="G74" s="71">
        <f t="shared" ca="1" si="12"/>
        <v>0.12949717369984104</v>
      </c>
      <c r="H74" s="71">
        <f t="shared" ca="1" si="12"/>
        <v>0.12788190478854733</v>
      </c>
      <c r="I74" s="71">
        <f t="shared" ca="1" si="12"/>
        <v>0.12994920851902014</v>
      </c>
    </row>
    <row r="75" spans="1:9" ht="15.75" thickBot="1" x14ac:dyDescent="0.3">
      <c r="A75" s="110" t="s">
        <v>118</v>
      </c>
      <c r="B75" s="149" t="s">
        <v>120</v>
      </c>
      <c r="C75" s="150"/>
      <c r="D75" s="150"/>
      <c r="E75" s="150">
        <f>'Entradas 5.65'!J87</f>
        <v>144621</v>
      </c>
      <c r="F75" s="150">
        <f>'Entradas 5.65'!N87</f>
        <v>192210</v>
      </c>
      <c r="G75" s="150">
        <f>'Entradas 5.65'!S87</f>
        <v>210353</v>
      </c>
      <c r="H75" s="150">
        <f>'Entradas 5.65'!X87</f>
        <v>228767</v>
      </c>
      <c r="I75" s="150">
        <f>'Entradas 5.65'!AC87</f>
        <v>248491</v>
      </c>
    </row>
    <row r="76" spans="1:9" x14ac:dyDescent="0.25">
      <c r="B76" s="106" t="s">
        <v>119</v>
      </c>
      <c r="E76" s="112">
        <f ca="1">'Entradas 5.65'!J88</f>
        <v>131990.90945287026</v>
      </c>
      <c r="F76" s="112">
        <f ca="1">'Entradas 5.65'!N88</f>
        <v>176557.57768305312</v>
      </c>
      <c r="G76" s="112">
        <f ca="1">'Entradas 5.65'!S88</f>
        <v>200386.67011290992</v>
      </c>
      <c r="H76" s="112">
        <f ca="1">'Entradas 5.65'!X88</f>
        <v>217693.29228217175</v>
      </c>
      <c r="I76" s="112">
        <f ca="1">'Entradas 5.65'!AC88</f>
        <v>236845.22942436166</v>
      </c>
    </row>
    <row r="77" spans="1:9" x14ac:dyDescent="0.25">
      <c r="B77" s="106" t="s">
        <v>113</v>
      </c>
      <c r="E77" s="71">
        <f ca="1">(E75-E76)/E75</f>
        <v>8.7332341410512618E-2</v>
      </c>
      <c r="F77" s="71">
        <f t="shared" ref="F77:I77" ca="1" si="13">(F75-F76)/F75</f>
        <v>8.1433964502090811E-2</v>
      </c>
      <c r="G77" s="71">
        <f t="shared" ca="1" si="13"/>
        <v>4.7379071784524475E-2</v>
      </c>
      <c r="H77" s="71">
        <f t="shared" ca="1" si="13"/>
        <v>4.8406053835685428E-2</v>
      </c>
      <c r="I77" s="71">
        <f t="shared" ca="1" si="13"/>
        <v>4.6865965268916523E-2</v>
      </c>
    </row>
  </sheetData>
  <mergeCells count="4">
    <mergeCell ref="A24:A25"/>
    <mergeCell ref="A3:A11"/>
    <mergeCell ref="A49:A53"/>
    <mergeCell ref="A55:A5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topLeftCell="B37" zoomScale="124" workbookViewId="0">
      <selection activeCell="L38" sqref="L38:L57"/>
    </sheetView>
  </sheetViews>
  <sheetFormatPr baseColWidth="10" defaultRowHeight="15" x14ac:dyDescent="0.25"/>
  <cols>
    <col min="1" max="1" width="19.5703125" style="8" customWidth="1"/>
    <col min="2" max="21" width="7" style="8" customWidth="1"/>
    <col min="22" max="22" width="7.42578125" customWidth="1"/>
  </cols>
  <sheetData>
    <row r="1" spans="1:22" x14ac:dyDescent="0.25">
      <c r="A1" s="8" t="s">
        <v>15</v>
      </c>
      <c r="B1" s="8" t="s">
        <v>50</v>
      </c>
    </row>
    <row r="2" spans="1:22" x14ac:dyDescent="0.25">
      <c r="A2" s="8">
        <v>1</v>
      </c>
      <c r="B2" s="8">
        <v>100</v>
      </c>
      <c r="C2" s="8">
        <f>$B$2*$B$25</f>
        <v>15</v>
      </c>
      <c r="D2" s="8">
        <f t="shared" ref="D2:V17" si="0">$B$2*$B$25</f>
        <v>15</v>
      </c>
      <c r="E2" s="8">
        <f t="shared" si="0"/>
        <v>15</v>
      </c>
      <c r="F2" s="8">
        <f t="shared" si="0"/>
        <v>15</v>
      </c>
      <c r="G2" s="8">
        <f t="shared" si="0"/>
        <v>15</v>
      </c>
      <c r="H2" s="8">
        <f t="shared" si="0"/>
        <v>15</v>
      </c>
      <c r="I2" s="8">
        <f t="shared" si="0"/>
        <v>15</v>
      </c>
      <c r="J2" s="8">
        <f t="shared" si="0"/>
        <v>15</v>
      </c>
      <c r="K2" s="8">
        <f t="shared" si="0"/>
        <v>15</v>
      </c>
      <c r="L2" s="8">
        <f t="shared" si="0"/>
        <v>15</v>
      </c>
      <c r="M2" s="8">
        <f t="shared" si="0"/>
        <v>15</v>
      </c>
      <c r="N2" s="8">
        <f t="shared" si="0"/>
        <v>15</v>
      </c>
      <c r="O2" s="8">
        <f t="shared" si="0"/>
        <v>15</v>
      </c>
      <c r="P2" s="8">
        <f t="shared" si="0"/>
        <v>15</v>
      </c>
      <c r="Q2" s="8">
        <f t="shared" si="0"/>
        <v>15</v>
      </c>
      <c r="R2" s="8">
        <f t="shared" si="0"/>
        <v>15</v>
      </c>
      <c r="S2" s="8">
        <f t="shared" si="0"/>
        <v>15</v>
      </c>
      <c r="T2" s="8">
        <f t="shared" si="0"/>
        <v>15</v>
      </c>
      <c r="U2" s="8">
        <f t="shared" si="0"/>
        <v>15</v>
      </c>
      <c r="V2" s="8">
        <f t="shared" si="0"/>
        <v>15</v>
      </c>
    </row>
    <row r="3" spans="1:22" x14ac:dyDescent="0.25">
      <c r="A3" s="8">
        <v>2</v>
      </c>
      <c r="C3" s="8">
        <f>B2-$C$2</f>
        <v>85</v>
      </c>
      <c r="D3" s="8">
        <f>$B$2*$B$25</f>
        <v>15</v>
      </c>
      <c r="E3" s="8">
        <f t="shared" si="0"/>
        <v>15</v>
      </c>
      <c r="F3" s="8">
        <f t="shared" si="0"/>
        <v>15</v>
      </c>
      <c r="G3" s="8">
        <f t="shared" si="0"/>
        <v>15</v>
      </c>
      <c r="H3" s="8">
        <f t="shared" si="0"/>
        <v>15</v>
      </c>
      <c r="I3" s="8">
        <f t="shared" si="0"/>
        <v>15</v>
      </c>
      <c r="J3" s="8">
        <f t="shared" si="0"/>
        <v>15</v>
      </c>
      <c r="K3" s="8">
        <f t="shared" si="0"/>
        <v>15</v>
      </c>
      <c r="L3" s="8">
        <f t="shared" si="0"/>
        <v>15</v>
      </c>
      <c r="M3" s="8">
        <f t="shared" si="0"/>
        <v>15</v>
      </c>
      <c r="N3" s="8">
        <f t="shared" si="0"/>
        <v>15</v>
      </c>
      <c r="O3" s="8">
        <f t="shared" si="0"/>
        <v>15</v>
      </c>
      <c r="P3" s="8">
        <f t="shared" si="0"/>
        <v>15</v>
      </c>
      <c r="Q3" s="8">
        <f t="shared" si="0"/>
        <v>15</v>
      </c>
      <c r="R3" s="8">
        <f t="shared" si="0"/>
        <v>15</v>
      </c>
      <c r="S3" s="8">
        <f t="shared" si="0"/>
        <v>15</v>
      </c>
      <c r="T3" s="8">
        <f t="shared" si="0"/>
        <v>15</v>
      </c>
      <c r="U3" s="8">
        <f t="shared" si="0"/>
        <v>15</v>
      </c>
      <c r="V3" s="8">
        <f t="shared" si="0"/>
        <v>15</v>
      </c>
    </row>
    <row r="4" spans="1:22" x14ac:dyDescent="0.25">
      <c r="A4" s="8">
        <v>3</v>
      </c>
      <c r="D4" s="8">
        <f>C3-$C$2</f>
        <v>70</v>
      </c>
      <c r="E4" s="8">
        <f>$B$2*$B$25</f>
        <v>15</v>
      </c>
      <c r="F4" s="8">
        <f t="shared" si="0"/>
        <v>15</v>
      </c>
      <c r="G4" s="8">
        <f t="shared" si="0"/>
        <v>15</v>
      </c>
      <c r="H4" s="8">
        <f t="shared" si="0"/>
        <v>15</v>
      </c>
      <c r="I4" s="8">
        <f t="shared" si="0"/>
        <v>15</v>
      </c>
      <c r="J4" s="8">
        <f t="shared" si="0"/>
        <v>15</v>
      </c>
      <c r="K4" s="8">
        <f t="shared" si="0"/>
        <v>15</v>
      </c>
      <c r="L4" s="8">
        <f t="shared" si="0"/>
        <v>15</v>
      </c>
      <c r="M4" s="8">
        <f t="shared" si="0"/>
        <v>15</v>
      </c>
      <c r="N4" s="8">
        <f t="shared" si="0"/>
        <v>15</v>
      </c>
      <c r="O4" s="8">
        <f t="shared" si="0"/>
        <v>15</v>
      </c>
      <c r="P4" s="8">
        <f t="shared" si="0"/>
        <v>15</v>
      </c>
      <c r="Q4" s="8">
        <f t="shared" si="0"/>
        <v>15</v>
      </c>
      <c r="R4" s="8">
        <f t="shared" si="0"/>
        <v>15</v>
      </c>
      <c r="S4" s="8">
        <f t="shared" si="0"/>
        <v>15</v>
      </c>
      <c r="T4" s="8">
        <f t="shared" si="0"/>
        <v>15</v>
      </c>
      <c r="U4" s="8">
        <f t="shared" si="0"/>
        <v>15</v>
      </c>
      <c r="V4" s="8">
        <f t="shared" si="0"/>
        <v>15</v>
      </c>
    </row>
    <row r="5" spans="1:22" x14ac:dyDescent="0.25">
      <c r="A5" s="8">
        <v>4</v>
      </c>
      <c r="E5" s="8">
        <f>D4-$C$2</f>
        <v>55</v>
      </c>
      <c r="F5" s="8">
        <f>$B$2*$B$25</f>
        <v>15</v>
      </c>
      <c r="G5" s="8">
        <f t="shared" si="0"/>
        <v>15</v>
      </c>
      <c r="H5" s="8">
        <f t="shared" si="0"/>
        <v>15</v>
      </c>
      <c r="I5" s="8">
        <f t="shared" si="0"/>
        <v>15</v>
      </c>
      <c r="J5" s="8">
        <f t="shared" si="0"/>
        <v>15</v>
      </c>
      <c r="K5" s="8">
        <f t="shared" si="0"/>
        <v>15</v>
      </c>
      <c r="L5" s="8">
        <f t="shared" si="0"/>
        <v>15</v>
      </c>
      <c r="M5" s="8">
        <f t="shared" si="0"/>
        <v>15</v>
      </c>
      <c r="N5" s="8">
        <f t="shared" si="0"/>
        <v>15</v>
      </c>
      <c r="O5" s="8">
        <f t="shared" si="0"/>
        <v>15</v>
      </c>
      <c r="P5" s="8">
        <f t="shared" si="0"/>
        <v>15</v>
      </c>
      <c r="Q5" s="8">
        <f t="shared" si="0"/>
        <v>15</v>
      </c>
      <c r="R5" s="8">
        <f t="shared" si="0"/>
        <v>15</v>
      </c>
      <c r="S5" s="8">
        <f t="shared" si="0"/>
        <v>15</v>
      </c>
      <c r="T5" s="8">
        <f t="shared" si="0"/>
        <v>15</v>
      </c>
      <c r="U5" s="8">
        <f t="shared" si="0"/>
        <v>15</v>
      </c>
      <c r="V5" s="8">
        <f t="shared" si="0"/>
        <v>15</v>
      </c>
    </row>
    <row r="6" spans="1:22" x14ac:dyDescent="0.25">
      <c r="A6" s="8">
        <v>5</v>
      </c>
      <c r="F6" s="8">
        <f>E5-$C$2</f>
        <v>40</v>
      </c>
      <c r="G6" s="8">
        <f>$B$2*$B$25</f>
        <v>15</v>
      </c>
      <c r="H6" s="8">
        <f t="shared" si="0"/>
        <v>15</v>
      </c>
      <c r="I6" s="8">
        <f t="shared" si="0"/>
        <v>15</v>
      </c>
      <c r="J6" s="8">
        <f t="shared" si="0"/>
        <v>15</v>
      </c>
      <c r="K6" s="8">
        <f t="shared" si="0"/>
        <v>15</v>
      </c>
      <c r="L6" s="8">
        <f t="shared" si="0"/>
        <v>15</v>
      </c>
      <c r="M6" s="8">
        <f t="shared" si="0"/>
        <v>15</v>
      </c>
      <c r="N6" s="8">
        <f t="shared" si="0"/>
        <v>15</v>
      </c>
      <c r="O6" s="8">
        <f t="shared" si="0"/>
        <v>15</v>
      </c>
      <c r="P6" s="8">
        <f t="shared" si="0"/>
        <v>15</v>
      </c>
      <c r="Q6" s="8">
        <f t="shared" si="0"/>
        <v>15</v>
      </c>
      <c r="R6" s="8">
        <f t="shared" si="0"/>
        <v>15</v>
      </c>
      <c r="S6" s="8">
        <f t="shared" si="0"/>
        <v>15</v>
      </c>
      <c r="T6" s="8">
        <f t="shared" si="0"/>
        <v>15</v>
      </c>
      <c r="U6" s="8">
        <f t="shared" si="0"/>
        <v>15</v>
      </c>
      <c r="V6" s="8">
        <f t="shared" si="0"/>
        <v>15</v>
      </c>
    </row>
    <row r="7" spans="1:22" x14ac:dyDescent="0.25">
      <c r="A7" s="8">
        <v>6</v>
      </c>
      <c r="G7" s="8">
        <f>F6-$C$2</f>
        <v>25</v>
      </c>
      <c r="H7" s="8">
        <f>$B$2*$B$25</f>
        <v>15</v>
      </c>
      <c r="I7" s="8">
        <f t="shared" si="0"/>
        <v>15</v>
      </c>
      <c r="J7" s="8">
        <f t="shared" si="0"/>
        <v>15</v>
      </c>
      <c r="K7" s="8">
        <f t="shared" si="0"/>
        <v>15</v>
      </c>
      <c r="L7" s="8">
        <f t="shared" si="0"/>
        <v>15</v>
      </c>
      <c r="M7" s="8">
        <f t="shared" si="0"/>
        <v>15</v>
      </c>
      <c r="N7" s="8">
        <f t="shared" si="0"/>
        <v>15</v>
      </c>
      <c r="O7" s="8">
        <f t="shared" si="0"/>
        <v>15</v>
      </c>
      <c r="P7" s="8">
        <f t="shared" si="0"/>
        <v>15</v>
      </c>
      <c r="Q7" s="8">
        <f t="shared" si="0"/>
        <v>15</v>
      </c>
      <c r="R7" s="8">
        <f t="shared" si="0"/>
        <v>15</v>
      </c>
      <c r="S7" s="8">
        <f t="shared" si="0"/>
        <v>15</v>
      </c>
      <c r="T7" s="8">
        <f t="shared" si="0"/>
        <v>15</v>
      </c>
      <c r="U7" s="8">
        <f t="shared" si="0"/>
        <v>15</v>
      </c>
      <c r="V7" s="8">
        <f t="shared" si="0"/>
        <v>15</v>
      </c>
    </row>
    <row r="8" spans="1:22" x14ac:dyDescent="0.25">
      <c r="A8" s="8">
        <v>7</v>
      </c>
      <c r="H8" s="8">
        <f>G7-$C$2</f>
        <v>10</v>
      </c>
      <c r="I8" s="8">
        <f>$B$2*$B$25</f>
        <v>15</v>
      </c>
      <c r="J8" s="8">
        <f t="shared" si="0"/>
        <v>15</v>
      </c>
      <c r="K8" s="8">
        <f t="shared" si="0"/>
        <v>15</v>
      </c>
      <c r="L8" s="8">
        <f t="shared" si="0"/>
        <v>15</v>
      </c>
      <c r="M8" s="8">
        <f t="shared" si="0"/>
        <v>15</v>
      </c>
      <c r="N8" s="8">
        <f t="shared" si="0"/>
        <v>15</v>
      </c>
      <c r="O8" s="8">
        <f t="shared" si="0"/>
        <v>15</v>
      </c>
      <c r="P8" s="8">
        <f t="shared" si="0"/>
        <v>15</v>
      </c>
      <c r="Q8" s="8">
        <f t="shared" si="0"/>
        <v>15</v>
      </c>
      <c r="R8" s="8">
        <f t="shared" si="0"/>
        <v>15</v>
      </c>
      <c r="S8" s="8">
        <f t="shared" si="0"/>
        <v>15</v>
      </c>
      <c r="T8" s="8">
        <f t="shared" si="0"/>
        <v>15</v>
      </c>
      <c r="U8" s="8">
        <f t="shared" si="0"/>
        <v>15</v>
      </c>
      <c r="V8" s="8">
        <f t="shared" si="0"/>
        <v>15</v>
      </c>
    </row>
    <row r="9" spans="1:22" x14ac:dyDescent="0.25">
      <c r="A9" s="8">
        <v>8</v>
      </c>
      <c r="I9" s="8">
        <f>H8-$C$2</f>
        <v>-5</v>
      </c>
      <c r="J9" s="8">
        <f>$B$2*$B$25</f>
        <v>15</v>
      </c>
      <c r="K9" s="8">
        <f t="shared" si="0"/>
        <v>15</v>
      </c>
      <c r="L9" s="8">
        <f t="shared" si="0"/>
        <v>15</v>
      </c>
      <c r="M9" s="8">
        <f t="shared" si="0"/>
        <v>15</v>
      </c>
      <c r="N9" s="8">
        <f t="shared" si="0"/>
        <v>15</v>
      </c>
      <c r="O9" s="8">
        <f t="shared" si="0"/>
        <v>15</v>
      </c>
      <c r="P9" s="8">
        <f t="shared" si="0"/>
        <v>15</v>
      </c>
      <c r="Q9" s="8">
        <f t="shared" si="0"/>
        <v>15</v>
      </c>
      <c r="R9" s="8">
        <f t="shared" si="0"/>
        <v>15</v>
      </c>
      <c r="S9" s="8">
        <f t="shared" si="0"/>
        <v>15</v>
      </c>
      <c r="T9" s="8">
        <f t="shared" si="0"/>
        <v>15</v>
      </c>
      <c r="U9" s="8">
        <f t="shared" si="0"/>
        <v>15</v>
      </c>
      <c r="V9" s="8">
        <f t="shared" si="0"/>
        <v>15</v>
      </c>
    </row>
    <row r="10" spans="1:22" x14ac:dyDescent="0.25">
      <c r="A10" s="8">
        <v>9</v>
      </c>
      <c r="J10" s="8">
        <f>I9-$C$2</f>
        <v>-20</v>
      </c>
      <c r="K10" s="8">
        <f>$B$2*$B$25</f>
        <v>15</v>
      </c>
      <c r="L10" s="8">
        <f t="shared" si="0"/>
        <v>15</v>
      </c>
      <c r="M10" s="8">
        <f t="shared" si="0"/>
        <v>15</v>
      </c>
      <c r="N10" s="8">
        <f t="shared" si="0"/>
        <v>15</v>
      </c>
      <c r="O10" s="8">
        <f t="shared" si="0"/>
        <v>15</v>
      </c>
      <c r="P10" s="8">
        <f t="shared" si="0"/>
        <v>15</v>
      </c>
      <c r="Q10" s="8">
        <f t="shared" si="0"/>
        <v>15</v>
      </c>
      <c r="R10" s="8">
        <f t="shared" si="0"/>
        <v>15</v>
      </c>
      <c r="S10" s="8">
        <f t="shared" si="0"/>
        <v>15</v>
      </c>
      <c r="T10" s="8">
        <f t="shared" si="0"/>
        <v>15</v>
      </c>
      <c r="U10" s="8">
        <f t="shared" si="0"/>
        <v>15</v>
      </c>
      <c r="V10" s="8">
        <f t="shared" si="0"/>
        <v>15</v>
      </c>
    </row>
    <row r="11" spans="1:22" x14ac:dyDescent="0.25">
      <c r="A11" s="8">
        <v>10</v>
      </c>
      <c r="K11" s="8">
        <f>J10-$C$2</f>
        <v>-35</v>
      </c>
      <c r="L11" s="8">
        <f>$B$2*$B$25</f>
        <v>15</v>
      </c>
      <c r="M11" s="8">
        <f t="shared" si="0"/>
        <v>15</v>
      </c>
      <c r="N11" s="8">
        <f t="shared" si="0"/>
        <v>15</v>
      </c>
      <c r="O11" s="8">
        <f t="shared" si="0"/>
        <v>15</v>
      </c>
      <c r="P11" s="8">
        <f t="shared" si="0"/>
        <v>15</v>
      </c>
      <c r="Q11" s="8">
        <f t="shared" si="0"/>
        <v>15</v>
      </c>
      <c r="R11" s="8">
        <f t="shared" si="0"/>
        <v>15</v>
      </c>
      <c r="S11" s="8">
        <f t="shared" si="0"/>
        <v>15</v>
      </c>
      <c r="T11" s="8">
        <f t="shared" si="0"/>
        <v>15</v>
      </c>
      <c r="U11" s="8">
        <f t="shared" si="0"/>
        <v>15</v>
      </c>
      <c r="V11" s="8">
        <f t="shared" si="0"/>
        <v>15</v>
      </c>
    </row>
    <row r="12" spans="1:22" x14ac:dyDescent="0.25">
      <c r="A12" s="8">
        <v>11</v>
      </c>
      <c r="L12" s="8">
        <f>K11-$C$2</f>
        <v>-50</v>
      </c>
      <c r="M12" s="8">
        <f>$B$2*$B$25</f>
        <v>15</v>
      </c>
      <c r="N12" s="8">
        <f t="shared" si="0"/>
        <v>15</v>
      </c>
      <c r="O12" s="8">
        <f t="shared" si="0"/>
        <v>15</v>
      </c>
      <c r="P12" s="8">
        <f t="shared" si="0"/>
        <v>15</v>
      </c>
      <c r="Q12" s="8">
        <f t="shared" si="0"/>
        <v>15</v>
      </c>
      <c r="R12" s="8">
        <f t="shared" si="0"/>
        <v>15</v>
      </c>
      <c r="S12" s="8">
        <f t="shared" si="0"/>
        <v>15</v>
      </c>
      <c r="T12" s="8">
        <f t="shared" si="0"/>
        <v>15</v>
      </c>
      <c r="U12" s="8">
        <f t="shared" si="0"/>
        <v>15</v>
      </c>
      <c r="V12" s="8">
        <f t="shared" si="0"/>
        <v>15</v>
      </c>
    </row>
    <row r="13" spans="1:22" x14ac:dyDescent="0.25">
      <c r="A13" s="8">
        <v>12</v>
      </c>
      <c r="M13" s="8">
        <f>L12-$C$2</f>
        <v>-65</v>
      </c>
      <c r="N13" s="8">
        <f>$B$2*$B$25</f>
        <v>15</v>
      </c>
      <c r="O13" s="8">
        <f t="shared" si="0"/>
        <v>15</v>
      </c>
      <c r="P13" s="8">
        <f t="shared" si="0"/>
        <v>15</v>
      </c>
      <c r="Q13" s="8">
        <f t="shared" si="0"/>
        <v>15</v>
      </c>
      <c r="R13" s="8">
        <f t="shared" si="0"/>
        <v>15</v>
      </c>
      <c r="S13" s="8">
        <f t="shared" si="0"/>
        <v>15</v>
      </c>
      <c r="T13" s="8">
        <f t="shared" si="0"/>
        <v>15</v>
      </c>
      <c r="U13" s="8">
        <f t="shared" si="0"/>
        <v>15</v>
      </c>
      <c r="V13" s="8">
        <f t="shared" si="0"/>
        <v>15</v>
      </c>
    </row>
    <row r="14" spans="1:22" x14ac:dyDescent="0.25">
      <c r="A14" s="8">
        <v>13</v>
      </c>
      <c r="N14" s="8">
        <f>M13-$C$2</f>
        <v>-80</v>
      </c>
      <c r="O14" s="8">
        <f>$B$2*$B$25</f>
        <v>15</v>
      </c>
      <c r="P14" s="8">
        <f t="shared" si="0"/>
        <v>15</v>
      </c>
      <c r="Q14" s="8">
        <f t="shared" si="0"/>
        <v>15</v>
      </c>
      <c r="R14" s="8">
        <f t="shared" si="0"/>
        <v>15</v>
      </c>
      <c r="S14" s="8">
        <f t="shared" si="0"/>
        <v>15</v>
      </c>
      <c r="T14" s="8">
        <f t="shared" si="0"/>
        <v>15</v>
      </c>
      <c r="U14" s="8">
        <f t="shared" si="0"/>
        <v>15</v>
      </c>
      <c r="V14" s="8">
        <f t="shared" si="0"/>
        <v>15</v>
      </c>
    </row>
    <row r="15" spans="1:22" x14ac:dyDescent="0.25">
      <c r="A15" s="8">
        <v>14</v>
      </c>
      <c r="O15" s="8">
        <f>N14-$C$2</f>
        <v>-95</v>
      </c>
      <c r="P15" s="8">
        <f>$B$2*$B$25</f>
        <v>15</v>
      </c>
      <c r="Q15" s="8">
        <f t="shared" si="0"/>
        <v>15</v>
      </c>
      <c r="R15" s="8">
        <f t="shared" si="0"/>
        <v>15</v>
      </c>
      <c r="S15" s="8">
        <f t="shared" si="0"/>
        <v>15</v>
      </c>
      <c r="T15" s="8">
        <f t="shared" si="0"/>
        <v>15</v>
      </c>
      <c r="U15" s="8">
        <f t="shared" si="0"/>
        <v>15</v>
      </c>
      <c r="V15" s="8">
        <f t="shared" si="0"/>
        <v>15</v>
      </c>
    </row>
    <row r="16" spans="1:22" x14ac:dyDescent="0.25">
      <c r="A16" s="8">
        <v>15</v>
      </c>
      <c r="P16" s="8">
        <f>O15-$C$2</f>
        <v>-110</v>
      </c>
      <c r="Q16" s="8">
        <f>$B$2*$B$25</f>
        <v>15</v>
      </c>
      <c r="R16" s="8">
        <f t="shared" si="0"/>
        <v>15</v>
      </c>
      <c r="S16" s="8">
        <f t="shared" si="0"/>
        <v>15</v>
      </c>
      <c r="T16" s="8">
        <f t="shared" si="0"/>
        <v>15</v>
      </c>
      <c r="U16" s="8">
        <f t="shared" si="0"/>
        <v>15</v>
      </c>
      <c r="V16" s="8">
        <f t="shared" si="0"/>
        <v>15</v>
      </c>
    </row>
    <row r="17" spans="1:22" x14ac:dyDescent="0.25">
      <c r="A17" s="8">
        <v>16</v>
      </c>
      <c r="Q17" s="8">
        <f>P16-$C$2</f>
        <v>-125</v>
      </c>
      <c r="R17" s="8">
        <f>$B$2*$B$25</f>
        <v>15</v>
      </c>
      <c r="S17" s="8">
        <f t="shared" si="0"/>
        <v>15</v>
      </c>
      <c r="T17" s="8">
        <f t="shared" si="0"/>
        <v>15</v>
      </c>
      <c r="U17" s="8">
        <f t="shared" si="0"/>
        <v>15</v>
      </c>
      <c r="V17" s="8">
        <f t="shared" si="0"/>
        <v>15</v>
      </c>
    </row>
    <row r="18" spans="1:22" x14ac:dyDescent="0.25">
      <c r="A18" s="8">
        <v>17</v>
      </c>
      <c r="R18" s="8">
        <f>Q17-$C$2</f>
        <v>-140</v>
      </c>
      <c r="S18" s="8">
        <f>$B$2*$B$25</f>
        <v>15</v>
      </c>
      <c r="T18" s="8">
        <f t="shared" ref="T18" si="1">$B$2*$B$25</f>
        <v>15</v>
      </c>
      <c r="U18" s="8">
        <f t="shared" ref="U18:U19" si="2">$B$2*$B$25</f>
        <v>15</v>
      </c>
      <c r="V18" s="8">
        <f t="shared" ref="V18:V21" si="3">$B$2*$B$25</f>
        <v>15</v>
      </c>
    </row>
    <row r="19" spans="1:22" x14ac:dyDescent="0.25">
      <c r="A19" s="8">
        <v>18</v>
      </c>
      <c r="S19" s="8">
        <f>R18-$C$2</f>
        <v>-155</v>
      </c>
      <c r="T19" s="8">
        <f>$B$2*$B$25</f>
        <v>15</v>
      </c>
      <c r="U19" s="8">
        <f t="shared" si="2"/>
        <v>15</v>
      </c>
      <c r="V19" s="8">
        <f t="shared" si="3"/>
        <v>15</v>
      </c>
    </row>
    <row r="20" spans="1:22" x14ac:dyDescent="0.25">
      <c r="A20" s="8">
        <v>19</v>
      </c>
      <c r="T20" s="8">
        <f>S19-$C$2</f>
        <v>-170</v>
      </c>
      <c r="U20" s="8">
        <f>$B$2*$B$25</f>
        <v>15</v>
      </c>
      <c r="V20" s="8">
        <f t="shared" si="3"/>
        <v>15</v>
      </c>
    </row>
    <row r="21" spans="1:22" x14ac:dyDescent="0.25">
      <c r="A21" s="8">
        <v>20</v>
      </c>
      <c r="U21" s="8">
        <f>T20-$C$2</f>
        <v>-185</v>
      </c>
      <c r="V21" s="8">
        <f t="shared" si="3"/>
        <v>15</v>
      </c>
    </row>
    <row r="23" spans="1:22" x14ac:dyDescent="0.25">
      <c r="A23" s="8" t="s">
        <v>81</v>
      </c>
      <c r="B23" s="8">
        <f>SUMPRODUCT($A$2:$A$21,B2:B21)/$B$2</f>
        <v>1</v>
      </c>
      <c r="C23" s="8">
        <f t="shared" ref="C23:V23" si="4">SUMPRODUCT($A$2:$A$21,C2:C21)/$B$2</f>
        <v>1.85</v>
      </c>
      <c r="D23" s="8">
        <f t="shared" si="4"/>
        <v>2.5499999999999998</v>
      </c>
      <c r="E23" s="8">
        <f t="shared" si="4"/>
        <v>3.1</v>
      </c>
      <c r="F23" s="8">
        <f t="shared" si="4"/>
        <v>3.5</v>
      </c>
      <c r="G23" s="8">
        <f t="shared" si="4"/>
        <v>3.75</v>
      </c>
      <c r="H23" s="8">
        <f t="shared" si="4"/>
        <v>3.85</v>
      </c>
      <c r="I23" s="8">
        <f t="shared" si="4"/>
        <v>3.8</v>
      </c>
      <c r="J23" s="8">
        <f t="shared" si="4"/>
        <v>3.6</v>
      </c>
      <c r="K23" s="8">
        <f t="shared" si="4"/>
        <v>3.25</v>
      </c>
      <c r="L23" s="8">
        <f t="shared" si="4"/>
        <v>2.75</v>
      </c>
      <c r="M23" s="8">
        <f t="shared" si="4"/>
        <v>2.1</v>
      </c>
      <c r="N23" s="8">
        <f t="shared" si="4"/>
        <v>1.3</v>
      </c>
      <c r="O23" s="8">
        <f t="shared" si="4"/>
        <v>0.35</v>
      </c>
      <c r="P23" s="8">
        <f t="shared" si="4"/>
        <v>-0.75</v>
      </c>
      <c r="Q23" s="8">
        <f t="shared" si="4"/>
        <v>-2</v>
      </c>
      <c r="R23" s="8">
        <f t="shared" si="4"/>
        <v>-3.4</v>
      </c>
      <c r="S23" s="8">
        <f t="shared" si="4"/>
        <v>-4.95</v>
      </c>
      <c r="T23" s="8">
        <f t="shared" si="4"/>
        <v>-6.65</v>
      </c>
      <c r="U23" s="8">
        <f t="shared" si="4"/>
        <v>-8.5</v>
      </c>
      <c r="V23" s="8">
        <f t="shared" si="4"/>
        <v>31.5</v>
      </c>
    </row>
    <row r="25" spans="1:22" x14ac:dyDescent="0.25">
      <c r="A25" s="8" t="s">
        <v>80</v>
      </c>
      <c r="B25" s="85">
        <v>0.15</v>
      </c>
    </row>
    <row r="35" spans="5:13" ht="15.75" thickBot="1" x14ac:dyDescent="0.3"/>
    <row r="36" spans="5:13" ht="15.75" thickBot="1" x14ac:dyDescent="0.3">
      <c r="E36" s="181" t="s">
        <v>128</v>
      </c>
      <c r="F36" s="182"/>
      <c r="G36" s="183"/>
      <c r="H36" s="181" t="s">
        <v>129</v>
      </c>
      <c r="I36" s="182"/>
      <c r="J36" s="183"/>
      <c r="K36" s="184" t="s">
        <v>130</v>
      </c>
      <c r="L36" s="185"/>
      <c r="M36" s="185"/>
    </row>
    <row r="37" spans="5:13" ht="15.75" thickBot="1" x14ac:dyDescent="0.3">
      <c r="E37" s="169" t="s">
        <v>131</v>
      </c>
      <c r="F37" s="170" t="s">
        <v>132</v>
      </c>
      <c r="G37" s="171" t="s">
        <v>133</v>
      </c>
      <c r="H37" s="170" t="s">
        <v>131</v>
      </c>
      <c r="I37" s="170" t="s">
        <v>132</v>
      </c>
      <c r="J37" s="171" t="s">
        <v>133</v>
      </c>
      <c r="K37" s="170" t="s">
        <v>131</v>
      </c>
      <c r="L37" s="170" t="s">
        <v>132</v>
      </c>
      <c r="M37" s="170" t="s">
        <v>133</v>
      </c>
    </row>
    <row r="38" spans="5:13" x14ac:dyDescent="0.25">
      <c r="E38" s="75">
        <v>0</v>
      </c>
      <c r="F38" s="75">
        <v>-0.01</v>
      </c>
      <c r="G38" s="75">
        <f>E38+F38</f>
        <v>-0.01</v>
      </c>
      <c r="H38" s="75">
        <v>1.2217456821606585E-2</v>
      </c>
      <c r="I38" s="145">
        <v>0</v>
      </c>
      <c r="J38" s="75">
        <f>H38+I38</f>
        <v>1.2217456821606585E-2</v>
      </c>
      <c r="K38" s="75">
        <v>0.11758432827170512</v>
      </c>
      <c r="L38" s="75">
        <v>-0.01</v>
      </c>
      <c r="M38" s="75">
        <f>K38+L38</f>
        <v>0.10758432827170512</v>
      </c>
    </row>
    <row r="39" spans="5:13" x14ac:dyDescent="0.25">
      <c r="E39" s="75">
        <v>0</v>
      </c>
      <c r="F39" s="75">
        <v>0.01</v>
      </c>
      <c r="G39" s="75">
        <f t="shared" ref="G39:G57" si="5">E39+F39</f>
        <v>0.01</v>
      </c>
      <c r="H39" s="75">
        <v>3.4141053242331243E-2</v>
      </c>
      <c r="I39" s="145">
        <v>0.02</v>
      </c>
      <c r="J39" s="75">
        <f t="shared" ref="J39:J57" si="6">H39+I39</f>
        <v>5.4141053242331247E-2</v>
      </c>
      <c r="K39" s="75">
        <v>0.15999751073495549</v>
      </c>
      <c r="L39" s="75">
        <v>-7.0000000000000007E-2</v>
      </c>
      <c r="M39" s="75">
        <f t="shared" ref="M39:M57" si="7">K39+L39</f>
        <v>8.9997510734955488E-2</v>
      </c>
    </row>
    <row r="40" spans="5:13" x14ac:dyDescent="0.25">
      <c r="E40" s="75">
        <v>1.2217456821606585E-2</v>
      </c>
      <c r="F40" s="75">
        <v>0</v>
      </c>
      <c r="G40" s="75">
        <f t="shared" si="5"/>
        <v>1.2217456821606585E-2</v>
      </c>
      <c r="H40" s="75">
        <v>5.4238214058970308E-2</v>
      </c>
      <c r="I40" s="145">
        <v>0.02</v>
      </c>
      <c r="J40" s="75">
        <f t="shared" si="6"/>
        <v>7.4238214058970312E-2</v>
      </c>
      <c r="K40" s="75">
        <v>0.10023247496423462</v>
      </c>
      <c r="L40" s="75">
        <v>-0.02</v>
      </c>
      <c r="M40" s="75">
        <f t="shared" si="7"/>
        <v>8.0232474964234621E-2</v>
      </c>
    </row>
    <row r="41" spans="5:13" x14ac:dyDescent="0.25">
      <c r="E41" s="75">
        <v>1.0001068816514741E-2</v>
      </c>
      <c r="F41" s="75">
        <v>0.01</v>
      </c>
      <c r="G41" s="75">
        <f t="shared" si="5"/>
        <v>2.0001068816514742E-2</v>
      </c>
      <c r="H41" s="75">
        <v>3.296803333216624E-2</v>
      </c>
      <c r="I41" s="145">
        <v>-0.01</v>
      </c>
      <c r="J41" s="75">
        <f t="shared" si="6"/>
        <v>2.2968033332166238E-2</v>
      </c>
      <c r="K41" s="75">
        <v>2.5696871190572939E-2</v>
      </c>
      <c r="L41" s="75">
        <v>0.05</v>
      </c>
      <c r="M41" s="75">
        <f t="shared" si="7"/>
        <v>7.5696871190572945E-2</v>
      </c>
    </row>
    <row r="42" spans="5:13" x14ac:dyDescent="0.25">
      <c r="E42" s="75">
        <v>0</v>
      </c>
      <c r="F42" s="75">
        <v>-0.01</v>
      </c>
      <c r="G42" s="75">
        <f t="shared" si="5"/>
        <v>-0.01</v>
      </c>
      <c r="H42" s="75">
        <v>3.0322751215147138E-2</v>
      </c>
      <c r="I42" s="145">
        <f>I41</f>
        <v>-0.01</v>
      </c>
      <c r="J42" s="75">
        <f t="shared" si="6"/>
        <v>2.0322751215147136E-2</v>
      </c>
      <c r="K42" s="75">
        <v>1.5275885018857162E-2</v>
      </c>
      <c r="L42" s="75">
        <v>0.06</v>
      </c>
      <c r="M42" s="75">
        <f t="shared" si="7"/>
        <v>7.5275885018857153E-2</v>
      </c>
    </row>
    <row r="43" spans="5:13" x14ac:dyDescent="0.25">
      <c r="E43" s="75">
        <v>0</v>
      </c>
      <c r="F43" s="75">
        <v>-0.01</v>
      </c>
      <c r="G43" s="75">
        <f t="shared" si="5"/>
        <v>-0.01</v>
      </c>
      <c r="H43" s="75">
        <v>2.0804547787296197E-2</v>
      </c>
      <c r="I43" s="145">
        <f>I42</f>
        <v>-0.01</v>
      </c>
      <c r="J43" s="75">
        <f t="shared" si="6"/>
        <v>1.0804547787296196E-2</v>
      </c>
      <c r="K43" s="75">
        <v>1.6450756984548152E-2</v>
      </c>
      <c r="L43" s="75">
        <v>0.02</v>
      </c>
      <c r="M43" s="75">
        <f t="shared" si="7"/>
        <v>3.6450756984548152E-2</v>
      </c>
    </row>
    <row r="44" spans="5:13" x14ac:dyDescent="0.25">
      <c r="E44" s="75">
        <v>2.3772449658341899E-2</v>
      </c>
      <c r="F44" s="75">
        <v>0.02</v>
      </c>
      <c r="G44" s="75">
        <f t="shared" si="5"/>
        <v>4.37724496583419E-2</v>
      </c>
      <c r="H44" s="75">
        <v>2.8714517750792791E-2</v>
      </c>
      <c r="I44" s="145">
        <v>0.01</v>
      </c>
      <c r="J44" s="75">
        <f t="shared" si="6"/>
        <v>3.8714517750792793E-2</v>
      </c>
      <c r="K44" s="75">
        <v>3.7605183956759415E-2</v>
      </c>
      <c r="L44" s="75">
        <v>-0.01</v>
      </c>
      <c r="M44" s="75">
        <f t="shared" si="7"/>
        <v>2.7605183956759413E-2</v>
      </c>
    </row>
    <row r="45" spans="5:13" x14ac:dyDescent="0.25">
      <c r="E45" s="75">
        <v>0</v>
      </c>
      <c r="F45" s="75">
        <v>0</v>
      </c>
      <c r="G45" s="75">
        <f t="shared" si="5"/>
        <v>0</v>
      </c>
      <c r="H45" s="75">
        <v>1.9811657675607601E-2</v>
      </c>
      <c r="I45" s="145">
        <v>0</v>
      </c>
      <c r="J45" s="75">
        <f t="shared" si="6"/>
        <v>1.9811657675607601E-2</v>
      </c>
      <c r="K45" s="75">
        <v>7.7989729625738092E-3</v>
      </c>
      <c r="L45" s="75">
        <v>-0.02</v>
      </c>
      <c r="M45" s="75">
        <f t="shared" si="7"/>
        <v>-1.220102703742619E-2</v>
      </c>
    </row>
    <row r="46" spans="5:13" x14ac:dyDescent="0.25">
      <c r="E46" s="75">
        <v>1.167297937847476E-2</v>
      </c>
      <c r="F46" s="75">
        <v>-0.01</v>
      </c>
      <c r="G46" s="75">
        <f t="shared" si="5"/>
        <v>1.67297937847476E-3</v>
      </c>
      <c r="H46" s="75">
        <v>8.0484133566798757E-3</v>
      </c>
      <c r="I46" s="145">
        <v>-0.01</v>
      </c>
      <c r="J46" s="75">
        <f t="shared" si="6"/>
        <v>-1.9515866433201245E-3</v>
      </c>
      <c r="K46" s="75">
        <v>2.188937836514929E-2</v>
      </c>
      <c r="L46" s="75">
        <v>0.01</v>
      </c>
      <c r="M46" s="75">
        <f t="shared" si="7"/>
        <v>3.1889378365149289E-2</v>
      </c>
    </row>
    <row r="47" spans="5:13" x14ac:dyDescent="0.25">
      <c r="E47" s="75">
        <v>0</v>
      </c>
      <c r="F47" s="75">
        <v>0</v>
      </c>
      <c r="G47" s="75">
        <f t="shared" si="5"/>
        <v>0</v>
      </c>
      <c r="H47" s="75">
        <v>1.9168063385646809E-2</v>
      </c>
      <c r="I47" s="145">
        <v>0</v>
      </c>
      <c r="J47" s="75">
        <f t="shared" si="6"/>
        <v>1.9168063385646809E-2</v>
      </c>
      <c r="K47" s="75">
        <v>7.5728545973597992E-3</v>
      </c>
      <c r="L47" s="75">
        <v>-0.01</v>
      </c>
      <c r="M47" s="75">
        <f t="shared" si="7"/>
        <v>-2.427145402640201E-3</v>
      </c>
    </row>
    <row r="48" spans="5:13" x14ac:dyDescent="0.25">
      <c r="E48" s="75">
        <v>0</v>
      </c>
      <c r="F48" s="75">
        <v>0</v>
      </c>
      <c r="G48" s="75">
        <f t="shared" si="5"/>
        <v>0</v>
      </c>
      <c r="H48" s="75">
        <v>9.4546106925008973E-3</v>
      </c>
      <c r="I48" s="145">
        <f>I47</f>
        <v>0</v>
      </c>
      <c r="J48" s="75">
        <f t="shared" si="6"/>
        <v>9.4546106925008973E-3</v>
      </c>
      <c r="K48" s="75">
        <v>1.5031874991086411E-2</v>
      </c>
      <c r="L48" s="75">
        <v>0</v>
      </c>
      <c r="M48" s="75">
        <f t="shared" si="7"/>
        <v>1.5031874991086411E-2</v>
      </c>
    </row>
    <row r="49" spans="5:13" x14ac:dyDescent="0.25">
      <c r="E49" s="75">
        <v>9.5605085314766965E-3</v>
      </c>
      <c r="F49" s="75">
        <v>0</v>
      </c>
      <c r="G49" s="75">
        <f t="shared" si="5"/>
        <v>9.5605085314766965E-3</v>
      </c>
      <c r="H49" s="75">
        <v>3.5758082001883879E-2</v>
      </c>
      <c r="I49" s="145">
        <v>0.01</v>
      </c>
      <c r="J49" s="75">
        <f t="shared" si="6"/>
        <v>4.575808200188388E-2</v>
      </c>
      <c r="K49" s="75">
        <v>1.3544715827927781E-2</v>
      </c>
      <c r="L49" s="75">
        <v>0</v>
      </c>
      <c r="M49" s="75">
        <f t="shared" si="7"/>
        <v>1.3544715827927781E-2</v>
      </c>
    </row>
    <row r="50" spans="5:13" x14ac:dyDescent="0.25">
      <c r="E50" s="75">
        <v>0</v>
      </c>
      <c r="F50" s="75">
        <v>0</v>
      </c>
      <c r="G50" s="75">
        <f t="shared" si="5"/>
        <v>0</v>
      </c>
      <c r="H50" s="75">
        <v>9.0427083512071241E-3</v>
      </c>
      <c r="I50" s="145">
        <v>-0.01</v>
      </c>
      <c r="J50" s="75">
        <f t="shared" si="6"/>
        <v>-9.5729164879287607E-4</v>
      </c>
      <c r="K50" s="75">
        <v>2.1833859348357493E-2</v>
      </c>
      <c r="L50" s="75">
        <v>0.01</v>
      </c>
      <c r="M50" s="75">
        <f t="shared" si="7"/>
        <v>3.1833859348357495E-2</v>
      </c>
    </row>
    <row r="51" spans="5:13" x14ac:dyDescent="0.25">
      <c r="E51" s="75">
        <v>1.1429025821935633E-2</v>
      </c>
      <c r="F51" s="75">
        <v>0</v>
      </c>
      <c r="G51" s="75">
        <f t="shared" si="5"/>
        <v>1.1429025821935633E-2</v>
      </c>
      <c r="H51" s="75">
        <v>1.7923341155664387E-2</v>
      </c>
      <c r="I51" s="145">
        <v>0</v>
      </c>
      <c r="J51" s="75">
        <f t="shared" si="6"/>
        <v>1.7923341155664387E-2</v>
      </c>
      <c r="K51" s="75">
        <v>2.7377313098059079E-2</v>
      </c>
      <c r="L51" s="75">
        <v>0</v>
      </c>
      <c r="M51" s="75">
        <f t="shared" si="7"/>
        <v>2.7377313098059079E-2</v>
      </c>
    </row>
    <row r="52" spans="5:13" x14ac:dyDescent="0.25">
      <c r="E52" s="75">
        <v>0</v>
      </c>
      <c r="F52" s="75">
        <v>0</v>
      </c>
      <c r="G52" s="75">
        <f t="shared" si="5"/>
        <v>0</v>
      </c>
      <c r="H52" s="75">
        <v>1.6098674685376992E-2</v>
      </c>
      <c r="I52" s="145">
        <v>0</v>
      </c>
      <c r="J52" s="75">
        <f t="shared" si="6"/>
        <v>1.6098674685376992E-2</v>
      </c>
      <c r="K52" s="75">
        <v>6.9590555756076523E-3</v>
      </c>
      <c r="L52" s="75">
        <v>-0.01</v>
      </c>
      <c r="M52" s="75">
        <f t="shared" si="7"/>
        <v>-3.0409444243923479E-3</v>
      </c>
    </row>
    <row r="53" spans="5:13" x14ac:dyDescent="0.25">
      <c r="E53" s="75">
        <v>0</v>
      </c>
      <c r="F53" s="75">
        <v>0</v>
      </c>
      <c r="G53" s="75">
        <f t="shared" si="5"/>
        <v>0</v>
      </c>
      <c r="H53" s="75">
        <v>2.4513484334496988E-2</v>
      </c>
      <c r="I53" s="145">
        <v>0.01</v>
      </c>
      <c r="J53" s="75">
        <f t="shared" si="6"/>
        <v>3.451348433449699E-2</v>
      </c>
      <c r="K53" s="75">
        <v>1.2641683459589888E-2</v>
      </c>
      <c r="L53" s="75">
        <v>0</v>
      </c>
      <c r="M53" s="75">
        <f t="shared" si="7"/>
        <v>1.2641683459589888E-2</v>
      </c>
    </row>
    <row r="54" spans="5:13" x14ac:dyDescent="0.25">
      <c r="E54" s="75">
        <v>2.0669987778119261E-2</v>
      </c>
      <c r="F54" s="75">
        <v>0.01</v>
      </c>
      <c r="G54" s="75">
        <f t="shared" si="5"/>
        <v>3.0669987778119259E-2</v>
      </c>
      <c r="H54" s="75">
        <v>1.6817870592262925E-2</v>
      </c>
      <c r="I54" s="145">
        <v>-0.01</v>
      </c>
      <c r="J54" s="75">
        <f t="shared" si="6"/>
        <v>6.8178705922629246E-3</v>
      </c>
      <c r="K54" s="75">
        <v>3.2880224813195254E-2</v>
      </c>
      <c r="L54" s="75">
        <v>0.01</v>
      </c>
      <c r="M54" s="75">
        <f t="shared" si="7"/>
        <v>4.2880224813195256E-2</v>
      </c>
    </row>
    <row r="55" spans="5:13" x14ac:dyDescent="0.25">
      <c r="E55" s="75">
        <v>1.0951997479079864E-2</v>
      </c>
      <c r="F55" s="75">
        <v>0</v>
      </c>
      <c r="G55" s="75">
        <f t="shared" si="5"/>
        <v>1.0951997479079864E-2</v>
      </c>
      <c r="H55" s="75">
        <v>3.1848407053575188E-2</v>
      </c>
      <c r="I55" s="145">
        <v>0.01</v>
      </c>
      <c r="J55" s="75">
        <f t="shared" si="6"/>
        <v>4.184840705357519E-2</v>
      </c>
      <c r="K55" s="75">
        <v>1.3214864842274195E-2</v>
      </c>
      <c r="L55" s="75">
        <v>0</v>
      </c>
      <c r="M55" s="75">
        <f t="shared" si="7"/>
        <v>1.3214864842274195E-2</v>
      </c>
    </row>
    <row r="56" spans="5:13" x14ac:dyDescent="0.25">
      <c r="E56" s="75">
        <v>0</v>
      </c>
      <c r="F56" s="75">
        <v>-0.01</v>
      </c>
      <c r="G56" s="75">
        <f t="shared" si="5"/>
        <v>-0.01</v>
      </c>
      <c r="H56" s="75">
        <v>1.6029203332279675E-2</v>
      </c>
      <c r="I56" s="145">
        <v>0</v>
      </c>
      <c r="J56" s="75">
        <f t="shared" si="6"/>
        <v>1.6029203332279675E-2</v>
      </c>
      <c r="K56" s="75">
        <v>1.8445953192156344E-2</v>
      </c>
      <c r="L56" s="75">
        <v>-0.01</v>
      </c>
      <c r="M56" s="75">
        <f t="shared" si="7"/>
        <v>8.4459531921563438E-3</v>
      </c>
    </row>
    <row r="57" spans="5:13" x14ac:dyDescent="0.25">
      <c r="E57" s="75">
        <v>0</v>
      </c>
      <c r="F57" s="75">
        <v>0</v>
      </c>
      <c r="G57" s="75">
        <f t="shared" si="5"/>
        <v>0</v>
      </c>
      <c r="H57" s="75">
        <v>1.4511807151530965E-2</v>
      </c>
      <c r="I57" s="145">
        <v>-0.01</v>
      </c>
      <c r="J57" s="75">
        <f t="shared" si="6"/>
        <v>4.5118071515309645E-3</v>
      </c>
      <c r="K57" s="75">
        <v>6.4031428455712611E-3</v>
      </c>
      <c r="L57" s="75">
        <v>0</v>
      </c>
      <c r="M57" s="75">
        <f t="shared" si="7"/>
        <v>6.4031428455712611E-3</v>
      </c>
    </row>
  </sheetData>
  <mergeCells count="3">
    <mergeCell ref="E36:G36"/>
    <mergeCell ref="H36:J36"/>
    <mergeCell ref="K36:M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6"/>
  <sheetViews>
    <sheetView zoomScaleNormal="100" workbookViewId="0">
      <pane ySplit="1" topLeftCell="A107" activePane="bottomLeft" state="frozen"/>
      <selection pane="bottomLeft" activeCell="I116" sqref="I116:M125"/>
    </sheetView>
  </sheetViews>
  <sheetFormatPr baseColWidth="10" defaultRowHeight="15" x14ac:dyDescent="0.25"/>
  <cols>
    <col min="1" max="1" width="7.5703125" style="9" customWidth="1"/>
    <col min="2" max="2" width="17.5703125" customWidth="1"/>
    <col min="3" max="3" width="21" style="8" customWidth="1"/>
    <col min="4" max="4" width="11.7109375" style="8" customWidth="1"/>
    <col min="5" max="7" width="11.42578125" style="8"/>
    <col min="24" max="24" width="3.5703125" customWidth="1"/>
  </cols>
  <sheetData>
    <row r="1" spans="1:26" s="12" customFormat="1" ht="25.5" customHeight="1" thickBot="1" x14ac:dyDescent="0.3">
      <c r="A1" s="9"/>
      <c r="B1" s="8"/>
      <c r="C1" s="45">
        <v>0</v>
      </c>
      <c r="D1" s="25">
        <v>1</v>
      </c>
      <c r="E1" s="25">
        <v>2</v>
      </c>
      <c r="F1" s="25">
        <v>3</v>
      </c>
      <c r="G1" s="25">
        <v>4</v>
      </c>
      <c r="H1" s="25">
        <v>5</v>
      </c>
      <c r="I1" s="25">
        <v>6</v>
      </c>
      <c r="J1" s="25">
        <v>7</v>
      </c>
      <c r="K1" s="25">
        <v>8</v>
      </c>
      <c r="L1" s="25">
        <v>9</v>
      </c>
      <c r="M1" s="25">
        <v>10</v>
      </c>
      <c r="N1" s="25">
        <v>11</v>
      </c>
      <c r="O1" s="25">
        <v>12</v>
      </c>
      <c r="P1" s="25">
        <v>13</v>
      </c>
      <c r="Q1" s="25">
        <v>14</v>
      </c>
      <c r="R1" s="25">
        <v>15</v>
      </c>
      <c r="S1" s="25">
        <v>16</v>
      </c>
      <c r="T1" s="25">
        <v>17</v>
      </c>
      <c r="U1" s="25">
        <v>18</v>
      </c>
      <c r="V1" s="25">
        <v>19</v>
      </c>
      <c r="W1" s="25">
        <v>20</v>
      </c>
      <c r="X1"/>
      <c r="Y1" s="8"/>
      <c r="Z1" s="8"/>
    </row>
    <row r="2" spans="1:26" ht="22.5" thickTop="1" thickBot="1" x14ac:dyDescent="0.4">
      <c r="A2" s="186" t="s">
        <v>125</v>
      </c>
      <c r="B2" s="187"/>
      <c r="C2" s="187"/>
      <c r="D2" s="187"/>
      <c r="E2" s="187"/>
      <c r="F2" s="187"/>
      <c r="G2" s="187"/>
      <c r="H2" s="187"/>
      <c r="I2" s="188"/>
    </row>
    <row r="3" spans="1:26" ht="15.75" thickBot="1" x14ac:dyDescent="0.3">
      <c r="C3" s="74"/>
      <c r="D3" s="7"/>
      <c r="E3" s="7"/>
    </row>
    <row r="4" spans="1:26" ht="15.75" thickBot="1" x14ac:dyDescent="0.3">
      <c r="B4" s="17"/>
      <c r="C4" s="18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6" s="12" customFormat="1" ht="25.5" customHeight="1" thickBot="1" x14ac:dyDescent="0.3">
      <c r="A5" s="9"/>
      <c r="B5" s="8"/>
      <c r="C5" s="45">
        <v>0</v>
      </c>
      <c r="D5" s="25">
        <v>1</v>
      </c>
      <c r="E5" s="25">
        <v>2</v>
      </c>
      <c r="F5" s="25">
        <v>3</v>
      </c>
      <c r="G5" s="25">
        <v>4</v>
      </c>
      <c r="H5" s="25">
        <v>5</v>
      </c>
      <c r="I5" s="25">
        <v>6</v>
      </c>
      <c r="J5" s="25">
        <v>7</v>
      </c>
      <c r="K5" s="25">
        <v>8</v>
      </c>
      <c r="L5" s="25">
        <v>9</v>
      </c>
      <c r="M5" s="25">
        <v>10</v>
      </c>
      <c r="N5" s="25">
        <v>11</v>
      </c>
      <c r="O5" s="25">
        <v>12</v>
      </c>
      <c r="P5" s="25">
        <v>13</v>
      </c>
      <c r="Q5" s="25">
        <v>14</v>
      </c>
      <c r="R5" s="25">
        <v>15</v>
      </c>
      <c r="S5" s="25">
        <v>16</v>
      </c>
      <c r="T5" s="25">
        <v>17</v>
      </c>
      <c r="U5" s="25">
        <v>18</v>
      </c>
      <c r="V5" s="25">
        <v>19</v>
      </c>
      <c r="W5" s="25">
        <v>20</v>
      </c>
      <c r="X5"/>
      <c r="Y5" s="8"/>
      <c r="Z5" s="8"/>
    </row>
    <row r="6" spans="1:26" s="6" customFormat="1" ht="15.75" thickTop="1" x14ac:dyDescent="0.25">
      <c r="A6" s="175" t="s">
        <v>9</v>
      </c>
      <c r="B6" s="5" t="s">
        <v>0</v>
      </c>
      <c r="C6" s="46">
        <v>76451.677355428925</v>
      </c>
      <c r="D6" s="3">
        <v>76451.677355428925</v>
      </c>
      <c r="E6" s="3">
        <v>76451.677355428925</v>
      </c>
      <c r="F6" s="3">
        <v>77385.72242245829</v>
      </c>
      <c r="G6" s="3">
        <v>78546.590969933299</v>
      </c>
      <c r="H6" s="3">
        <v>78546.590969933299</v>
      </c>
      <c r="I6" s="3">
        <v>78546.590969933299</v>
      </c>
      <c r="J6" s="3">
        <v>80413.835849600408</v>
      </c>
      <c r="K6" s="3">
        <v>80413.835849600408</v>
      </c>
      <c r="L6" s="3">
        <v>81352.504897216844</v>
      </c>
      <c r="M6" s="3">
        <v>81352.504897216844</v>
      </c>
      <c r="N6" s="3">
        <v>81352.504897216844</v>
      </c>
      <c r="O6" s="3">
        <v>82130.276214343685</v>
      </c>
      <c r="P6" s="3">
        <v>82130.276214343685</v>
      </c>
      <c r="Q6" s="3">
        <v>83068.945261960122</v>
      </c>
      <c r="R6" s="3">
        <v>83068.945261960122</v>
      </c>
      <c r="S6" s="3">
        <v>83068.945261960122</v>
      </c>
      <c r="T6" s="3">
        <v>84785.979345266096</v>
      </c>
      <c r="U6" s="3">
        <v>85714.555177316768</v>
      </c>
      <c r="V6" s="3">
        <v>85714.555177316768</v>
      </c>
      <c r="W6" s="3">
        <v>85714.555177316768</v>
      </c>
      <c r="X6"/>
      <c r="Y6" s="3"/>
      <c r="Z6" s="3"/>
    </row>
    <row r="7" spans="1:26" s="6" customFormat="1" x14ac:dyDescent="0.25">
      <c r="A7" s="176"/>
      <c r="B7" s="2" t="s">
        <v>12</v>
      </c>
      <c r="C7" s="44">
        <v>2111.6919277867255</v>
      </c>
      <c r="D7" s="3">
        <v>2111.4499184874658</v>
      </c>
      <c r="E7" s="3">
        <v>2111.3655078419706</v>
      </c>
      <c r="F7" s="3">
        <v>2111.5703832515665</v>
      </c>
      <c r="G7" s="3">
        <v>2111.3816857588936</v>
      </c>
      <c r="H7" s="3">
        <v>2111.4970545475207</v>
      </c>
      <c r="I7" s="3">
        <v>2111.4556576059713</v>
      </c>
      <c r="J7" s="3">
        <v>2155.5354822053978</v>
      </c>
      <c r="K7" s="3">
        <v>2171.9077925251404</v>
      </c>
      <c r="L7" s="3">
        <v>2153.2953942233471</v>
      </c>
      <c r="M7" s="3">
        <v>2177.4757012107293</v>
      </c>
      <c r="N7" s="3">
        <v>2251.8608740269574</v>
      </c>
      <c r="O7" s="3">
        <v>2181.3068247790907</v>
      </c>
      <c r="P7" s="3">
        <v>2284.249454425968</v>
      </c>
      <c r="Q7" s="3">
        <v>2218.6121723945216</v>
      </c>
      <c r="R7" s="3">
        <v>2253.7467264042516</v>
      </c>
      <c r="S7" s="3">
        <v>2285.4529108295137</v>
      </c>
      <c r="T7" s="3">
        <v>2244.6932103548261</v>
      </c>
      <c r="U7" s="3">
        <v>2326.1305441850582</v>
      </c>
      <c r="V7" s="3">
        <v>2267.5523396056778</v>
      </c>
      <c r="W7" s="3">
        <v>2303.207318063829</v>
      </c>
      <c r="X7"/>
      <c r="Y7" s="3"/>
      <c r="Z7" s="3"/>
    </row>
    <row r="8" spans="1:26" s="6" customFormat="1" x14ac:dyDescent="0.25">
      <c r="A8" s="176"/>
      <c r="B8" s="5" t="s">
        <v>4</v>
      </c>
      <c r="C8" s="44">
        <v>10386.971373204462</v>
      </c>
      <c r="D8" s="3">
        <v>10386.556127287104</v>
      </c>
      <c r="E8" s="3">
        <v>10387.563982124631</v>
      </c>
      <c r="F8" s="3">
        <v>10386.635712200999</v>
      </c>
      <c r="G8" s="3">
        <v>10387.203252209571</v>
      </c>
      <c r="H8" s="3">
        <v>10386.999605964855</v>
      </c>
      <c r="I8" s="3">
        <v>10603.84390439752</v>
      </c>
      <c r="J8" s="3">
        <v>10684.385108389792</v>
      </c>
      <c r="K8" s="3">
        <v>10592.824116743875</v>
      </c>
      <c r="L8" s="3">
        <v>10711.775626923745</v>
      </c>
      <c r="M8" s="3">
        <v>11077.702686745506</v>
      </c>
      <c r="N8" s="3">
        <v>10730.622283187458</v>
      </c>
      <c r="O8" s="3">
        <v>11237.033606450317</v>
      </c>
      <c r="P8" s="3">
        <v>10914.140525489174</v>
      </c>
      <c r="Q8" s="3">
        <v>11086.979863762843</v>
      </c>
      <c r="R8" s="3">
        <v>11242.953835532278</v>
      </c>
      <c r="S8" s="3">
        <v>11042.442405777765</v>
      </c>
      <c r="T8" s="3">
        <v>11443.061548007137</v>
      </c>
      <c r="U8" s="3">
        <v>11154.894573866633</v>
      </c>
      <c r="V8" s="3">
        <v>11330.294064668829</v>
      </c>
      <c r="W8" s="3">
        <v>11682.288280687002</v>
      </c>
      <c r="X8"/>
      <c r="Y8" s="3"/>
      <c r="Z8" s="3"/>
    </row>
    <row r="9" spans="1:26" s="6" customFormat="1" x14ac:dyDescent="0.25">
      <c r="A9" s="176"/>
      <c r="B9" s="5" t="s">
        <v>73</v>
      </c>
      <c r="C9" s="44">
        <v>12556.862989329104</v>
      </c>
      <c r="D9" s="3">
        <v>12557.853833370338</v>
      </c>
      <c r="E9" s="3">
        <v>12557.041252146208</v>
      </c>
      <c r="F9" s="3">
        <v>12557.488150354031</v>
      </c>
      <c r="G9" s="3">
        <v>12557.365290053232</v>
      </c>
      <c r="H9" s="3">
        <v>12784.805693637196</v>
      </c>
      <c r="I9" s="3">
        <v>12903.974949562131</v>
      </c>
      <c r="J9" s="3">
        <v>12820.807176457716</v>
      </c>
      <c r="K9" s="3">
        <v>12930.945606033156</v>
      </c>
      <c r="L9" s="3">
        <v>13333.832800245002</v>
      </c>
      <c r="M9" s="3">
        <v>13028.263553232466</v>
      </c>
      <c r="N9" s="3">
        <v>13503.987542980392</v>
      </c>
      <c r="O9" s="3">
        <v>13246.259071420787</v>
      </c>
      <c r="P9" s="3">
        <v>13375.929289091537</v>
      </c>
      <c r="Q9" s="3">
        <v>13567.19087391935</v>
      </c>
      <c r="R9" s="3">
        <v>13381.796531850621</v>
      </c>
      <c r="S9" s="3">
        <v>13769.983956123109</v>
      </c>
      <c r="T9" s="3">
        <v>13531.764162498153</v>
      </c>
      <c r="U9" s="3">
        <v>13669.673829034737</v>
      </c>
      <c r="V9" s="3">
        <v>14066.973086711469</v>
      </c>
      <c r="W9" s="3">
        <v>13962.48298537677</v>
      </c>
      <c r="X9" s="3"/>
      <c r="Y9" s="3"/>
      <c r="Z9" s="3"/>
    </row>
    <row r="10" spans="1:26" s="6" customFormat="1" x14ac:dyDescent="0.25">
      <c r="A10" s="176"/>
      <c r="B10" s="5" t="s">
        <v>2</v>
      </c>
      <c r="C10" s="44">
        <v>21729.351575624558</v>
      </c>
      <c r="D10" s="3">
        <v>21729.251406993873</v>
      </c>
      <c r="E10" s="3">
        <v>21729.112687911998</v>
      </c>
      <c r="F10" s="3">
        <v>21729.312671632666</v>
      </c>
      <c r="G10" s="3">
        <v>21958.088793229606</v>
      </c>
      <c r="H10" s="3">
        <v>22242.70156408221</v>
      </c>
      <c r="I10" s="3">
        <v>22245.307186774033</v>
      </c>
      <c r="J10" s="3">
        <v>22295.911016469061</v>
      </c>
      <c r="K10" s="3">
        <v>22781.07673465987</v>
      </c>
      <c r="L10" s="3">
        <v>22765.337206217479</v>
      </c>
      <c r="M10" s="3">
        <v>23022.768435989339</v>
      </c>
      <c r="N10" s="3">
        <v>23107.912864620313</v>
      </c>
      <c r="O10" s="3">
        <v>23051.76571493821</v>
      </c>
      <c r="P10" s="3">
        <v>23338.123809294706</v>
      </c>
      <c r="Q10" s="3">
        <v>23290.066931141188</v>
      </c>
      <c r="R10" s="3">
        <v>23546.435848513105</v>
      </c>
      <c r="S10" s="3">
        <v>23587.823065506022</v>
      </c>
      <c r="T10" s="3">
        <v>23554.093848680506</v>
      </c>
      <c r="U10" s="3">
        <v>24053.746689070053</v>
      </c>
      <c r="V10" s="3">
        <v>24236.299457021469</v>
      </c>
      <c r="W10" s="3">
        <v>24267.1896911941</v>
      </c>
      <c r="X10" s="3"/>
      <c r="Y10" s="3"/>
      <c r="Z10" s="3"/>
    </row>
    <row r="11" spans="1:26" s="6" customFormat="1" x14ac:dyDescent="0.25">
      <c r="A11" s="176"/>
      <c r="B11" s="5" t="s">
        <v>6</v>
      </c>
      <c r="C11" s="44">
        <v>-8.0291329140891321E-13</v>
      </c>
      <c r="D11" s="3">
        <v>6.9633188104489818E-13</v>
      </c>
      <c r="E11" s="3">
        <v>-2.9842794901924208E-13</v>
      </c>
      <c r="F11" s="3">
        <v>6.4659388954169117E-13</v>
      </c>
      <c r="G11" s="3">
        <v>-9.0238927441532724E-13</v>
      </c>
      <c r="H11" s="3">
        <v>4.1922021409845911E-13</v>
      </c>
      <c r="I11" s="3">
        <v>4.6185277824406512E-13</v>
      </c>
      <c r="J11" s="3">
        <v>0</v>
      </c>
      <c r="K11" s="3">
        <v>4.8316906031686813E-13</v>
      </c>
      <c r="L11" s="3">
        <v>-2.6290081223123707E-13</v>
      </c>
      <c r="M11" s="3">
        <v>1.1368683772161603E-13</v>
      </c>
      <c r="N11" s="3">
        <v>8.1001871876651421E-13</v>
      </c>
      <c r="O11" s="3">
        <v>0</v>
      </c>
      <c r="P11" s="3">
        <v>4.1211478674085811E-13</v>
      </c>
      <c r="Q11" s="3">
        <v>2.9842794901924208E-13</v>
      </c>
      <c r="R11" s="3">
        <v>-1.1368683772161603E-13</v>
      </c>
      <c r="S11" s="3">
        <v>-5.2580162446247414E-13</v>
      </c>
      <c r="T11" s="3">
        <v>7.531752999057062E-13</v>
      </c>
      <c r="U11" s="3">
        <v>0</v>
      </c>
      <c r="V11" s="3">
        <v>-5.2580162446247414E-13</v>
      </c>
      <c r="W11" s="3">
        <v>-8.3844042819691822E-13</v>
      </c>
      <c r="X11" s="3"/>
      <c r="Y11" s="3"/>
      <c r="Z11" s="3"/>
    </row>
    <row r="12" spans="1:26" s="6" customFormat="1" x14ac:dyDescent="0.25">
      <c r="A12" s="176"/>
      <c r="B12" s="5" t="s">
        <v>5</v>
      </c>
      <c r="C12" s="44">
        <v>12477.100786217703</v>
      </c>
      <c r="D12" s="3">
        <v>12477.41301308736</v>
      </c>
      <c r="E12" s="3">
        <v>12477.355494326543</v>
      </c>
      <c r="F12" s="3">
        <v>12477.275839152697</v>
      </c>
      <c r="G12" s="3">
        <v>12477.390673664437</v>
      </c>
      <c r="H12" s="3">
        <v>12608.758337663188</v>
      </c>
      <c r="I12" s="3">
        <v>12772.188483213908</v>
      </c>
      <c r="J12" s="3">
        <v>12773.684682047498</v>
      </c>
      <c r="K12" s="3">
        <v>12802.742377623517</v>
      </c>
      <c r="L12" s="3">
        <v>13081.333895855872</v>
      </c>
      <c r="M12" s="3">
        <v>13072.295954878968</v>
      </c>
      <c r="N12" s="3">
        <v>13220.117934985074</v>
      </c>
      <c r="O12" s="3">
        <v>13269.009509043073</v>
      </c>
      <c r="P12" s="3">
        <v>13236.768732154123</v>
      </c>
      <c r="Q12" s="3">
        <v>13401.201076142463</v>
      </c>
      <c r="R12" s="3">
        <v>13373.605889293272</v>
      </c>
      <c r="S12" s="3">
        <v>13520.817869118568</v>
      </c>
      <c r="T12" s="3">
        <v>13544.583207816575</v>
      </c>
      <c r="U12" s="3">
        <v>13525.215240600653</v>
      </c>
      <c r="V12" s="3">
        <v>13812.125543975568</v>
      </c>
      <c r="W12" s="3">
        <v>13916.950866281424</v>
      </c>
      <c r="X12" s="3"/>
      <c r="Y12" s="3"/>
      <c r="Z12" s="3"/>
    </row>
    <row r="13" spans="1:26" s="6" customFormat="1" ht="15.75" thickBot="1" x14ac:dyDescent="0.3">
      <c r="A13" s="177"/>
      <c r="B13" s="5" t="s">
        <v>1</v>
      </c>
      <c r="C13" s="47">
        <v>20966.918187006151</v>
      </c>
      <c r="D13" s="3">
        <v>20966.821533064263</v>
      </c>
      <c r="E13" s="3">
        <v>20966.687681318595</v>
      </c>
      <c r="F13" s="3">
        <v>20966.880648066606</v>
      </c>
      <c r="G13" s="3">
        <v>21187.629537326819</v>
      </c>
      <c r="H13" s="3">
        <v>21462.255895167043</v>
      </c>
      <c r="I13" s="3">
        <v>21464.770092501258</v>
      </c>
      <c r="J13" s="3">
        <v>21513.598349224532</v>
      </c>
      <c r="K13" s="3">
        <v>21981.740708882327</v>
      </c>
      <c r="L13" s="3">
        <v>21966.553444595811</v>
      </c>
      <c r="M13" s="3">
        <v>22214.951999638841</v>
      </c>
      <c r="N13" s="3">
        <v>22297.108904458197</v>
      </c>
      <c r="O13" s="3">
        <v>22242.931830203535</v>
      </c>
      <c r="P13" s="3">
        <v>22519.24227212647</v>
      </c>
      <c r="Q13" s="3">
        <v>22472.871600223949</v>
      </c>
      <c r="R13" s="3">
        <v>22720.245116986334</v>
      </c>
      <c r="S13" s="3">
        <v>22760.180150926859</v>
      </c>
      <c r="T13" s="3">
        <v>22727.63441539347</v>
      </c>
      <c r="U13" s="3">
        <v>23209.755577172858</v>
      </c>
      <c r="V13" s="3">
        <v>23385.902984845277</v>
      </c>
      <c r="W13" s="3">
        <v>23415.709351152203</v>
      </c>
      <c r="X13" s="3"/>
      <c r="Y13" s="3"/>
      <c r="Z13" s="3"/>
    </row>
    <row r="14" spans="1:26" s="6" customFormat="1" ht="15.75" thickBot="1" x14ac:dyDescent="0.3">
      <c r="A14" s="5"/>
      <c r="B14" s="72" t="s">
        <v>21</v>
      </c>
      <c r="C14" s="73">
        <v>156680.57419459763</v>
      </c>
      <c r="D14" s="73">
        <v>156681.02318771931</v>
      </c>
      <c r="E14" s="73">
        <v>156680.80396109889</v>
      </c>
      <c r="F14" s="73">
        <v>157614.88582711687</v>
      </c>
      <c r="G14" s="73">
        <v>159225.65020217584</v>
      </c>
      <c r="H14" s="73">
        <v>160143.6091209953</v>
      </c>
      <c r="I14" s="73">
        <v>160648.13124398811</v>
      </c>
      <c r="J14" s="73">
        <v>162657.75766439442</v>
      </c>
      <c r="K14" s="73">
        <v>163675.0731860683</v>
      </c>
      <c r="L14" s="73">
        <v>165364.63326527807</v>
      </c>
      <c r="M14" s="73">
        <v>165945.9632289127</v>
      </c>
      <c r="N14" s="73">
        <v>166464.11530147525</v>
      </c>
      <c r="O14" s="73">
        <v>167358.58277117871</v>
      </c>
      <c r="P14" s="73">
        <v>167798.73029692567</v>
      </c>
      <c r="Q14" s="73">
        <v>169105.86777954441</v>
      </c>
      <c r="R14" s="73">
        <v>169587.72921053998</v>
      </c>
      <c r="S14" s="73">
        <v>170035.64562024196</v>
      </c>
      <c r="T14" s="73">
        <v>171831.80973801677</v>
      </c>
      <c r="U14" s="73">
        <v>173653.97163124676</v>
      </c>
      <c r="V14" s="73">
        <v>174813.70265414508</v>
      </c>
      <c r="W14" s="73">
        <v>175262.38367007213</v>
      </c>
      <c r="X14" s="26"/>
      <c r="Y14" s="3"/>
      <c r="Z14" s="3"/>
    </row>
    <row r="15" spans="1:26" s="6" customFormat="1" x14ac:dyDescent="0.25">
      <c r="A15" s="10"/>
      <c r="B15" s="1"/>
      <c r="C15" s="7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"/>
    </row>
    <row r="16" spans="1:26" s="6" customFormat="1" ht="15.75" thickBot="1" x14ac:dyDescent="0.3">
      <c r="A16" s="10"/>
      <c r="B16" s="1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1:24" s="6" customFormat="1" x14ac:dyDescent="0.25">
      <c r="A17" s="175" t="s">
        <v>8</v>
      </c>
      <c r="B17" s="5" t="s">
        <v>0</v>
      </c>
      <c r="C17" s="7"/>
      <c r="D17" s="7">
        <v>8346.2527336045168</v>
      </c>
      <c r="E17" s="7">
        <v>8345.7659999839234</v>
      </c>
      <c r="F17" s="7">
        <v>7412.422630220055</v>
      </c>
      <c r="G17" s="7">
        <v>7158.7969594191236</v>
      </c>
      <c r="H17" s="7">
        <v>8287.3394511187944</v>
      </c>
      <c r="I17" s="7">
        <v>8296.4819868795603</v>
      </c>
      <c r="J17" s="7">
        <v>6606.7944043879979</v>
      </c>
      <c r="K17" s="7">
        <v>8518.0749597237882</v>
      </c>
      <c r="L17" s="7">
        <v>7524.1794965200243</v>
      </c>
      <c r="M17" s="7">
        <v>8532.4840358320653</v>
      </c>
      <c r="N17" s="7">
        <v>8831.2364169933717</v>
      </c>
      <c r="O17" s="7">
        <v>7856.4575571222813</v>
      </c>
      <c r="P17" s="7">
        <v>8948.255410864891</v>
      </c>
      <c r="Q17" s="7">
        <v>7840.9657381483994</v>
      </c>
      <c r="R17" s="7">
        <v>8845.5428655308206</v>
      </c>
      <c r="S17" s="7">
        <v>8990.7611707690812</v>
      </c>
      <c r="T17" s="7">
        <v>7155.3789582507889</v>
      </c>
      <c r="U17" s="7">
        <v>8172.1071011380263</v>
      </c>
      <c r="V17" s="7">
        <v>8916.5507646441692</v>
      </c>
      <c r="W17" s="7">
        <v>9024.9375512148108</v>
      </c>
      <c r="X17" s="7"/>
    </row>
    <row r="18" spans="1:24" s="6" customFormat="1" x14ac:dyDescent="0.25">
      <c r="A18" s="176"/>
      <c r="B18" s="2" t="s">
        <v>12</v>
      </c>
      <c r="C18" s="7"/>
      <c r="D18" s="7">
        <v>142.58587908668659</v>
      </c>
      <c r="E18" s="7">
        <v>142.55023694316952</v>
      </c>
      <c r="F18" s="7">
        <v>142.50910333507096</v>
      </c>
      <c r="G18" s="7">
        <v>142.57114358399258</v>
      </c>
      <c r="H18" s="7">
        <v>142.52115931417126</v>
      </c>
      <c r="I18" s="7">
        <v>142.54815017550402</v>
      </c>
      <c r="J18" s="7">
        <v>137.14086172563623</v>
      </c>
      <c r="K18" s="7">
        <v>143.51055242011972</v>
      </c>
      <c r="L18" s="7">
        <v>148.901160072854</v>
      </c>
      <c r="M18" s="7">
        <v>142.40291179203456</v>
      </c>
      <c r="N18" s="7">
        <v>137.88558633007528</v>
      </c>
      <c r="O18" s="7">
        <v>160.66107121375416</v>
      </c>
      <c r="P18" s="7">
        <v>134.64615990741424</v>
      </c>
      <c r="Q18" s="7">
        <v>162.24529725625342</v>
      </c>
      <c r="R18" s="7">
        <v>145.47051414726423</v>
      </c>
      <c r="S18" s="7">
        <v>148.26232751205407</v>
      </c>
      <c r="T18" s="7">
        <v>159.27923715374112</v>
      </c>
      <c r="U18" s="7">
        <v>141.55947742203921</v>
      </c>
      <c r="V18" s="7">
        <v>164.2079285058818</v>
      </c>
      <c r="W18" s="7">
        <v>148.71062231482495</v>
      </c>
      <c r="X18" s="7"/>
    </row>
    <row r="19" spans="1:24" s="6" customFormat="1" x14ac:dyDescent="0.25">
      <c r="A19" s="176"/>
      <c r="B19" s="5" t="s">
        <v>4</v>
      </c>
      <c r="C19" s="7"/>
      <c r="D19" s="7">
        <v>1349.0880225398782</v>
      </c>
      <c r="E19" s="7">
        <v>1349.0062105432869</v>
      </c>
      <c r="F19" s="7">
        <v>1349.1750420548444</v>
      </c>
      <c r="G19" s="7">
        <v>1349.0251731113085</v>
      </c>
      <c r="H19" s="7">
        <v>1349.1139941188962</v>
      </c>
      <c r="I19" s="7">
        <v>1344.835496875804</v>
      </c>
      <c r="J19" s="7">
        <v>1375.6698794709755</v>
      </c>
      <c r="K19" s="7">
        <v>1389.5022703735074</v>
      </c>
      <c r="L19" s="7">
        <v>1373.4861364748413</v>
      </c>
      <c r="M19" s="7">
        <v>1384.0974483634716</v>
      </c>
      <c r="N19" s="7">
        <v>1445.5928336636018</v>
      </c>
      <c r="O19" s="7">
        <v>1383.7931512191592</v>
      </c>
      <c r="P19" s="7">
        <v>1465.8132026606929</v>
      </c>
      <c r="Q19" s="7">
        <v>1414.1636498221067</v>
      </c>
      <c r="R19" s="7">
        <v>1436.942755232745</v>
      </c>
      <c r="S19" s="7">
        <v>1464.184632889825</v>
      </c>
      <c r="T19" s="7">
        <v>1426.3654573855206</v>
      </c>
      <c r="U19" s="7">
        <v>1491.8922124041405</v>
      </c>
      <c r="V19" s="7">
        <v>1445.3830959470347</v>
      </c>
      <c r="W19" s="7">
        <v>1464.7047661535353</v>
      </c>
      <c r="X19" s="7"/>
    </row>
    <row r="20" spans="1:24" s="6" customFormat="1" x14ac:dyDescent="0.25">
      <c r="A20" s="176"/>
      <c r="B20" s="5" t="s">
        <v>73</v>
      </c>
      <c r="C20" s="7"/>
      <c r="D20" s="7">
        <v>8630.4368880211678</v>
      </c>
      <c r="E20" s="7">
        <v>8631.1517948135188</v>
      </c>
      <c r="F20" s="7">
        <v>8630.5696316289577</v>
      </c>
      <c r="G20" s="7">
        <v>8630.8874960557805</v>
      </c>
      <c r="H20" s="7">
        <v>8626.5266886409936</v>
      </c>
      <c r="I20" s="7">
        <v>8784.8833455744316</v>
      </c>
      <c r="J20" s="7">
        <v>8870.5918613656431</v>
      </c>
      <c r="K20" s="7">
        <v>8809.7972261258255</v>
      </c>
      <c r="L20" s="7">
        <v>8879.9951237218374</v>
      </c>
      <c r="M20" s="7">
        <v>9170.2167565501968</v>
      </c>
      <c r="N20" s="7">
        <v>8945.5139589528117</v>
      </c>
      <c r="O20" s="7">
        <v>9286.2667628704803</v>
      </c>
      <c r="P20" s="7">
        <v>9101.8474595447115</v>
      </c>
      <c r="Q20" s="7">
        <v>9189.8136525239188</v>
      </c>
      <c r="R20" s="7">
        <v>9328.3477327051514</v>
      </c>
      <c r="S20" s="7">
        <v>9190.1456397620204</v>
      </c>
      <c r="T20" s="7">
        <v>9468.7221086767677</v>
      </c>
      <c r="U20" s="7">
        <v>9297.9230828136242</v>
      </c>
      <c r="V20" s="7">
        <v>9387.8353098007392</v>
      </c>
      <c r="W20" s="7">
        <v>9670.3326151648653</v>
      </c>
      <c r="X20" s="7"/>
    </row>
    <row r="21" spans="1:24" s="6" customFormat="1" x14ac:dyDescent="0.25">
      <c r="A21" s="176"/>
      <c r="B21" s="5" t="s">
        <v>2</v>
      </c>
      <c r="C21" s="7"/>
      <c r="D21" s="7">
        <v>14486.167604662583</v>
      </c>
      <c r="E21" s="7">
        <v>14486.075125274665</v>
      </c>
      <c r="F21" s="7">
        <v>14486.208447755111</v>
      </c>
      <c r="G21" s="7">
        <v>14638.725862153076</v>
      </c>
      <c r="H21" s="7">
        <v>14828.467709388142</v>
      </c>
      <c r="I21" s="7">
        <v>14830.20479118269</v>
      </c>
      <c r="J21" s="7">
        <v>14863.940677646046</v>
      </c>
      <c r="K21" s="7">
        <v>15187.384489773243</v>
      </c>
      <c r="L21" s="7">
        <v>15176.891470811654</v>
      </c>
      <c r="M21" s="7">
        <v>15348.512290659562</v>
      </c>
      <c r="N21" s="7">
        <v>15405.27524308021</v>
      </c>
      <c r="O21" s="7">
        <v>15367.843809958804</v>
      </c>
      <c r="P21" s="7">
        <v>15558.749206196473</v>
      </c>
      <c r="Q21" s="7">
        <v>15526.711287427455</v>
      </c>
      <c r="R21" s="7">
        <v>15697.623899008742</v>
      </c>
      <c r="S21" s="7">
        <v>15725.215377004011</v>
      </c>
      <c r="T21" s="7">
        <v>15702.729232453672</v>
      </c>
      <c r="U21" s="7">
        <v>16035.831126046705</v>
      </c>
      <c r="V21" s="7">
        <v>16157.532971347648</v>
      </c>
      <c r="W21" s="7">
        <v>16178.126460796069</v>
      </c>
      <c r="X21" s="7"/>
    </row>
    <row r="22" spans="1:24" s="6" customFormat="1" x14ac:dyDescent="0.25">
      <c r="A22" s="176"/>
      <c r="B22" s="5" t="s">
        <v>6</v>
      </c>
      <c r="C22" s="7"/>
      <c r="D22" s="7">
        <v>12415.962992365236</v>
      </c>
      <c r="E22" s="7">
        <v>12416.273689323232</v>
      </c>
      <c r="F22" s="7">
        <v>12416.216452404342</v>
      </c>
      <c r="G22" s="7">
        <v>12416.137187540849</v>
      </c>
      <c r="H22" s="7">
        <v>12416.251459363481</v>
      </c>
      <c r="I22" s="7">
        <v>12546.975421808638</v>
      </c>
      <c r="J22" s="7">
        <v>12709.604759646159</v>
      </c>
      <c r="K22" s="7">
        <v>12711.093627105465</v>
      </c>
      <c r="L22" s="7">
        <v>12740.008939973162</v>
      </c>
      <c r="M22" s="7">
        <v>13017.235359766179</v>
      </c>
      <c r="N22" s="7">
        <v>13008.24170470006</v>
      </c>
      <c r="O22" s="7">
        <v>13155.339357103647</v>
      </c>
      <c r="P22" s="7">
        <v>13203.991362448762</v>
      </c>
      <c r="Q22" s="7">
        <v>13171.908565366568</v>
      </c>
      <c r="R22" s="7">
        <v>13335.535190869365</v>
      </c>
      <c r="S22" s="7">
        <v>13308.075220435736</v>
      </c>
      <c r="T22" s="7">
        <v>13454.565861559886</v>
      </c>
      <c r="U22" s="7">
        <v>13478.214750098274</v>
      </c>
      <c r="V22" s="7">
        <v>13458.941685921711</v>
      </c>
      <c r="W22" s="7">
        <v>13744.446128810088</v>
      </c>
      <c r="X22" s="7"/>
    </row>
    <row r="23" spans="1:24" s="6" customFormat="1" x14ac:dyDescent="0.25">
      <c r="A23" s="176"/>
      <c r="B23" s="5" t="s">
        <v>5</v>
      </c>
      <c r="C23" s="7"/>
      <c r="D23" s="7">
        <v>8386.7672748024615</v>
      </c>
      <c r="E23" s="7">
        <v>8386.728613225705</v>
      </c>
      <c r="F23" s="7">
        <v>8386.6750725274378</v>
      </c>
      <c r="G23" s="7">
        <v>8386.7522592266432</v>
      </c>
      <c r="H23" s="7">
        <v>8475.0518149307281</v>
      </c>
      <c r="I23" s="7">
        <v>8584.9023580668181</v>
      </c>
      <c r="J23" s="7">
        <v>8585.9080370005031</v>
      </c>
      <c r="K23" s="7">
        <v>8605.439339689814</v>
      </c>
      <c r="L23" s="7">
        <v>8792.6962835529321</v>
      </c>
      <c r="M23" s="7">
        <v>8786.6213778383244</v>
      </c>
      <c r="N23" s="7">
        <v>8885.980799855537</v>
      </c>
      <c r="O23" s="7">
        <v>8918.8435617832783</v>
      </c>
      <c r="P23" s="7">
        <v>8897.1727320814152</v>
      </c>
      <c r="Q23" s="7">
        <v>9007.6969088505884</v>
      </c>
      <c r="R23" s="7">
        <v>8989.1486400895792</v>
      </c>
      <c r="S23" s="7">
        <v>9088.0980467945337</v>
      </c>
      <c r="T23" s="7">
        <v>9104.0720603707432</v>
      </c>
      <c r="U23" s="7">
        <v>9091.053766157389</v>
      </c>
      <c r="V23" s="7">
        <v>9283.9022308691438</v>
      </c>
      <c r="W23" s="7">
        <v>9354.3611939381117</v>
      </c>
      <c r="X23" s="7"/>
    </row>
    <row r="24" spans="1:24" s="6" customFormat="1" ht="15.75" thickBot="1" x14ac:dyDescent="0.3">
      <c r="A24" s="177"/>
      <c r="B24" s="5" t="s">
        <v>1</v>
      </c>
      <c r="C24" s="7"/>
      <c r="D24" s="7">
        <v>15248.597478592194</v>
      </c>
      <c r="E24" s="7">
        <v>15248.500131868068</v>
      </c>
      <c r="F24" s="7">
        <v>15248.64047132117</v>
      </c>
      <c r="G24" s="7">
        <v>15409.185118055868</v>
      </c>
      <c r="H24" s="7">
        <v>15608.913378303307</v>
      </c>
      <c r="I24" s="7">
        <v>15610.741885455463</v>
      </c>
      <c r="J24" s="7">
        <v>15646.253344890572</v>
      </c>
      <c r="K24" s="7">
        <v>15986.720515550784</v>
      </c>
      <c r="L24" s="7">
        <v>15975.675232433319</v>
      </c>
      <c r="M24" s="7">
        <v>16156.328727010065</v>
      </c>
      <c r="N24" s="7">
        <v>16216.079203242327</v>
      </c>
      <c r="O24" s="7">
        <v>16176.677694693479</v>
      </c>
      <c r="P24" s="7">
        <v>16377.630743364709</v>
      </c>
      <c r="Q24" s="7">
        <v>16343.906618344692</v>
      </c>
      <c r="R24" s="7">
        <v>16523.814630535515</v>
      </c>
      <c r="S24" s="7">
        <v>16552.858291583172</v>
      </c>
      <c r="T24" s="7">
        <v>16529.188665740709</v>
      </c>
      <c r="U24" s="7">
        <v>16879.822237943899</v>
      </c>
      <c r="V24" s="7">
        <v>17007.929443523837</v>
      </c>
      <c r="W24" s="7">
        <v>17029.606800837966</v>
      </c>
      <c r="X24" s="7"/>
    </row>
    <row r="25" spans="1:24" s="6" customFormat="1" ht="15.75" thickBot="1" x14ac:dyDescent="0.3">
      <c r="A25" s="10"/>
      <c r="B25" s="72" t="s">
        <v>21</v>
      </c>
      <c r="C25" s="73"/>
      <c r="D25" s="73">
        <v>69005.858873674733</v>
      </c>
      <c r="E25" s="73">
        <v>69006.051801975569</v>
      </c>
      <c r="F25" s="73">
        <v>68072.416851246991</v>
      </c>
      <c r="G25" s="73">
        <v>68132.081199146647</v>
      </c>
      <c r="H25" s="73">
        <v>69734.185655178517</v>
      </c>
      <c r="I25" s="73">
        <v>70141.573436018924</v>
      </c>
      <c r="J25" s="73">
        <v>68795.903826133537</v>
      </c>
      <c r="K25" s="73">
        <v>71351.522980762558</v>
      </c>
      <c r="L25" s="73">
        <v>70611.833843560627</v>
      </c>
      <c r="M25" s="73">
        <v>72537.898907811905</v>
      </c>
      <c r="N25" s="73">
        <v>72875.80574681799</v>
      </c>
      <c r="O25" s="73">
        <v>72305.882965964876</v>
      </c>
      <c r="P25" s="73">
        <v>73688.106277069077</v>
      </c>
      <c r="Q25" s="73">
        <v>72657.411717739975</v>
      </c>
      <c r="R25" s="73">
        <v>74302.426228119177</v>
      </c>
      <c r="S25" s="73">
        <v>74467.60070675044</v>
      </c>
      <c r="T25" s="73">
        <v>73000.301581591833</v>
      </c>
      <c r="U25" s="73">
        <v>74588.403754024097</v>
      </c>
      <c r="V25" s="73">
        <v>75822.283430560157</v>
      </c>
      <c r="W25" s="73">
        <v>76615.226139230275</v>
      </c>
      <c r="X25" s="7"/>
    </row>
    <row r="26" spans="1:24" s="6" customFormat="1" x14ac:dyDescent="0.25">
      <c r="A26" s="10"/>
      <c r="B26" s="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30" spans="1:24" ht="15.75" thickBot="1" x14ac:dyDescent="0.3"/>
    <row r="31" spans="1:24" ht="21.75" thickBot="1" x14ac:dyDescent="0.4">
      <c r="A31" s="189" t="s">
        <v>126</v>
      </c>
      <c r="B31" s="190"/>
      <c r="C31" s="190"/>
      <c r="D31" s="190"/>
      <c r="E31" s="190"/>
      <c r="F31" s="190"/>
      <c r="G31" s="190"/>
      <c r="H31" s="190"/>
      <c r="I31" s="191"/>
    </row>
    <row r="32" spans="1:24" ht="15.75" thickBot="1" x14ac:dyDescent="0.3">
      <c r="C32" s="74"/>
      <c r="D32" s="7"/>
      <c r="E32" s="7"/>
    </row>
    <row r="33" spans="1:26" ht="15.75" thickBot="1" x14ac:dyDescent="0.3">
      <c r="B33" s="17"/>
      <c r="C33" s="18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1:26" s="12" customFormat="1" ht="25.5" customHeight="1" thickBot="1" x14ac:dyDescent="0.3">
      <c r="A34" s="9"/>
      <c r="B34" s="8"/>
      <c r="C34" s="45">
        <v>0</v>
      </c>
      <c r="D34" s="25">
        <v>1</v>
      </c>
      <c r="E34" s="25">
        <v>2</v>
      </c>
      <c r="F34" s="25">
        <v>3</v>
      </c>
      <c r="G34" s="25">
        <v>4</v>
      </c>
      <c r="H34" s="25">
        <v>5</v>
      </c>
      <c r="I34" s="25">
        <v>6</v>
      </c>
      <c r="J34" s="25">
        <v>7</v>
      </c>
      <c r="K34" s="25">
        <v>8</v>
      </c>
      <c r="L34" s="25">
        <v>9</v>
      </c>
      <c r="M34" s="25">
        <v>10</v>
      </c>
      <c r="N34" s="25">
        <v>11</v>
      </c>
      <c r="O34" s="25">
        <v>12</v>
      </c>
      <c r="P34" s="25">
        <v>13</v>
      </c>
      <c r="Q34" s="25">
        <v>14</v>
      </c>
      <c r="R34" s="25">
        <v>15</v>
      </c>
      <c r="S34" s="25">
        <v>16</v>
      </c>
      <c r="T34" s="25">
        <v>17</v>
      </c>
      <c r="U34" s="25">
        <v>18</v>
      </c>
      <c r="V34" s="25">
        <v>19</v>
      </c>
      <c r="W34" s="25">
        <v>20</v>
      </c>
      <c r="X34"/>
      <c r="Y34" s="8"/>
      <c r="Z34" s="8"/>
    </row>
    <row r="35" spans="1:26" s="6" customFormat="1" ht="15.75" thickTop="1" x14ac:dyDescent="0.25">
      <c r="A35" s="175" t="s">
        <v>9</v>
      </c>
      <c r="B35" s="5" t="s">
        <v>0</v>
      </c>
      <c r="C35" s="46">
        <v>76451.677355428925</v>
      </c>
      <c r="D35" s="3">
        <v>78150.239196012568</v>
      </c>
      <c r="E35" s="3">
        <v>81209.121869284601</v>
      </c>
      <c r="F35" s="3">
        <v>85613.759604771883</v>
      </c>
      <c r="G35" s="3">
        <v>88436.276885114072</v>
      </c>
      <c r="H35" s="3">
        <v>91117.908107495256</v>
      </c>
      <c r="I35" s="3">
        <v>93013.574980996113</v>
      </c>
      <c r="J35" s="3">
        <v>95684.414930852625</v>
      </c>
      <c r="K35" s="3">
        <v>97580.081804353467</v>
      </c>
      <c r="L35" s="3">
        <v>98365.446638093534</v>
      </c>
      <c r="M35" s="3">
        <v>100250.92175420997</v>
      </c>
      <c r="N35" s="3">
        <v>101198.75519096038</v>
      </c>
      <c r="O35" s="3">
        <v>104817.42857756732</v>
      </c>
      <c r="P35" s="3">
        <v>105765.26201431773</v>
      </c>
      <c r="Q35" s="3">
        <v>107660.92888781858</v>
      </c>
      <c r="R35" s="3">
        <v>109394.12715830909</v>
      </c>
      <c r="S35" s="3">
        <v>112075.75838069027</v>
      </c>
      <c r="T35" s="3">
        <v>113960.63398166645</v>
      </c>
      <c r="U35" s="3">
        <v>117590.09864079805</v>
      </c>
      <c r="V35" s="3">
        <v>119474.97424177424</v>
      </c>
      <c r="W35" s="3">
        <v>121208.77202740496</v>
      </c>
      <c r="X35"/>
      <c r="Y35" s="3"/>
      <c r="Z35" s="3"/>
    </row>
    <row r="36" spans="1:26" s="6" customFormat="1" x14ac:dyDescent="0.25">
      <c r="A36" s="176"/>
      <c r="B36" s="2" t="s">
        <v>12</v>
      </c>
      <c r="C36" s="44">
        <v>2111.6919277867255</v>
      </c>
      <c r="D36" s="3">
        <v>2111.4499184874658</v>
      </c>
      <c r="E36" s="3">
        <v>2111.3655078419706</v>
      </c>
      <c r="F36" s="3">
        <v>2111.5703832515665</v>
      </c>
      <c r="G36" s="3">
        <v>2111.3816857588936</v>
      </c>
      <c r="H36" s="3">
        <v>2191.6690688597137</v>
      </c>
      <c r="I36" s="3">
        <v>2266.0900135482607</v>
      </c>
      <c r="J36" s="3">
        <v>2401.1678676062347</v>
      </c>
      <c r="K36" s="3">
        <v>2426.682476013717</v>
      </c>
      <c r="L36" s="3">
        <v>2537.4419746425228</v>
      </c>
      <c r="M36" s="3">
        <v>2560.4201807820409</v>
      </c>
      <c r="N36" s="3">
        <v>2667.1014438494676</v>
      </c>
      <c r="O36" s="3">
        <v>2686.4376159141593</v>
      </c>
      <c r="P36" s="3">
        <v>2706.0702578089094</v>
      </c>
      <c r="Q36" s="3">
        <v>2800.1997410500189</v>
      </c>
      <c r="R36" s="3">
        <v>2769.8556261878839</v>
      </c>
      <c r="S36" s="3">
        <v>2962.9889587773669</v>
      </c>
      <c r="T36" s="3">
        <v>2863.5646827303972</v>
      </c>
      <c r="U36" s="3">
        <v>3018.3766843564299</v>
      </c>
      <c r="V36" s="3">
        <v>3015.4755729244225</v>
      </c>
      <c r="W36" s="3">
        <v>3116.3942780046837</v>
      </c>
      <c r="X36"/>
      <c r="Y36" s="3"/>
      <c r="Z36" s="3"/>
    </row>
    <row r="37" spans="1:26" s="6" customFormat="1" x14ac:dyDescent="0.25">
      <c r="A37" s="176"/>
      <c r="B37" s="5" t="s">
        <v>4</v>
      </c>
      <c r="C37" s="44">
        <v>10386.971373204462</v>
      </c>
      <c r="D37" s="3">
        <v>10386.556127287104</v>
      </c>
      <c r="E37" s="3">
        <v>10387.563982124631</v>
      </c>
      <c r="F37" s="3">
        <v>10386.635712200999</v>
      </c>
      <c r="G37" s="3">
        <v>10781.597838745356</v>
      </c>
      <c r="H37" s="3">
        <v>11147.700873100304</v>
      </c>
      <c r="I37" s="3">
        <v>11812.196768062922</v>
      </c>
      <c r="J37" s="3">
        <v>11937.712180390055</v>
      </c>
      <c r="K37" s="3">
        <v>12482.577455902727</v>
      </c>
      <c r="L37" s="3">
        <v>12595.615405460032</v>
      </c>
      <c r="M37" s="3">
        <v>13120.418393130438</v>
      </c>
      <c r="N37" s="3">
        <v>13215.539884738997</v>
      </c>
      <c r="O37" s="3">
        <v>13312.119816640592</v>
      </c>
      <c r="P37" s="3">
        <v>13775.176145487985</v>
      </c>
      <c r="Q37" s="3">
        <v>13625.902677214581</v>
      </c>
      <c r="R37" s="3">
        <v>14575.994071404779</v>
      </c>
      <c r="S37" s="3">
        <v>14086.890777947909</v>
      </c>
      <c r="T37" s="3">
        <v>14848.465947237268</v>
      </c>
      <c r="U37" s="3">
        <v>14834.194350676584</v>
      </c>
      <c r="V37" s="3">
        <v>15330.649270829483</v>
      </c>
      <c r="W37" s="3">
        <v>15480.166011694148</v>
      </c>
      <c r="X37"/>
      <c r="Y37" s="3"/>
      <c r="Z37" s="3"/>
    </row>
    <row r="38" spans="1:26" s="6" customFormat="1" x14ac:dyDescent="0.25">
      <c r="A38" s="176"/>
      <c r="B38" s="5" t="s">
        <v>73</v>
      </c>
      <c r="C38" s="44">
        <v>12556.862989329104</v>
      </c>
      <c r="D38" s="3">
        <v>12557.853833370338</v>
      </c>
      <c r="E38" s="3">
        <v>12557.041252146208</v>
      </c>
      <c r="F38" s="3">
        <v>12971.214080999216</v>
      </c>
      <c r="G38" s="3">
        <v>13418.428758485315</v>
      </c>
      <c r="H38" s="3">
        <v>14174.046605884048</v>
      </c>
      <c r="I38" s="3">
        <v>14411.988231197432</v>
      </c>
      <c r="J38" s="3">
        <v>15003.634117031303</v>
      </c>
      <c r="K38" s="3">
        <v>15209.3539497437</v>
      </c>
      <c r="L38" s="3">
        <v>15777.95864647344</v>
      </c>
      <c r="M38" s="3">
        <v>15961.675243372687</v>
      </c>
      <c r="N38" s="3">
        <v>16078.202017860756</v>
      </c>
      <c r="O38" s="3">
        <v>16579.401367752922</v>
      </c>
      <c r="P38" s="3">
        <v>16496.868671686654</v>
      </c>
      <c r="Q38" s="3">
        <v>17469.655441552219</v>
      </c>
      <c r="R38" s="3">
        <v>17108.528490761779</v>
      </c>
      <c r="S38" s="3">
        <v>17829.209262054566</v>
      </c>
      <c r="T38" s="3">
        <v>17936.03825123276</v>
      </c>
      <c r="U38" s="3">
        <v>18454.544544357923</v>
      </c>
      <c r="V38" s="3">
        <v>18690.788828195076</v>
      </c>
      <c r="W38" s="3">
        <v>19443.068743647018</v>
      </c>
      <c r="X38" s="3"/>
      <c r="Y38" s="3"/>
      <c r="Z38" s="3"/>
    </row>
    <row r="39" spans="1:26" s="6" customFormat="1" x14ac:dyDescent="0.25">
      <c r="A39" s="176"/>
      <c r="B39" s="5" t="s">
        <v>2</v>
      </c>
      <c r="C39" s="44">
        <v>21729.351575624558</v>
      </c>
      <c r="D39" s="3">
        <v>21729.251406993873</v>
      </c>
      <c r="E39" s="3">
        <v>22145.430195039047</v>
      </c>
      <c r="F39" s="3">
        <v>22895.362321978693</v>
      </c>
      <c r="G39" s="3">
        <v>23979.556138169148</v>
      </c>
      <c r="H39" s="3">
        <v>24766.155840061121</v>
      </c>
      <c r="I39" s="3">
        <v>25533.809109614103</v>
      </c>
      <c r="J39" s="3">
        <v>26169.24771825851</v>
      </c>
      <c r="K39" s="3">
        <v>26890.382614331967</v>
      </c>
      <c r="L39" s="3">
        <v>27486.995279958879</v>
      </c>
      <c r="M39" s="3">
        <v>27737.287177553095</v>
      </c>
      <c r="N39" s="3">
        <v>28326.006887732103</v>
      </c>
      <c r="O39" s="3">
        <v>28605.892059023274</v>
      </c>
      <c r="P39" s="3">
        <v>29525.00773254985</v>
      </c>
      <c r="Q39" s="3">
        <v>29866.045420632228</v>
      </c>
      <c r="R39" s="3">
        <v>30329.736688102446</v>
      </c>
      <c r="S39" s="3">
        <v>30959.103385010465</v>
      </c>
      <c r="T39" s="3">
        <v>31558.215965285199</v>
      </c>
      <c r="U39" s="3">
        <v>32171.407457350655</v>
      </c>
      <c r="V39" s="3">
        <v>33099.471866505897</v>
      </c>
      <c r="W39" s="3">
        <v>33676.239825672972</v>
      </c>
      <c r="X39" s="3"/>
      <c r="Y39" s="3"/>
      <c r="Z39" s="3"/>
    </row>
    <row r="40" spans="1:26" s="6" customFormat="1" x14ac:dyDescent="0.25">
      <c r="A40" s="176"/>
      <c r="B40" s="5" t="s">
        <v>6</v>
      </c>
      <c r="C40" s="44">
        <v>-8.0291329140891321E-13</v>
      </c>
      <c r="D40" s="3">
        <v>6.9633188104489818E-13</v>
      </c>
      <c r="E40" s="3">
        <v>-2.9842794901924208E-13</v>
      </c>
      <c r="F40" s="3">
        <v>6.4659388954169117E-13</v>
      </c>
      <c r="G40" s="3">
        <v>0</v>
      </c>
      <c r="H40" s="3">
        <v>-5.2580162446247414E-13</v>
      </c>
      <c r="I40" s="3">
        <v>8.6686213762732223E-13</v>
      </c>
      <c r="J40" s="3">
        <v>0</v>
      </c>
      <c r="K40" s="3">
        <v>-3.5527136788005009E-13</v>
      </c>
      <c r="L40" s="3">
        <v>1.8474111129762605E-13</v>
      </c>
      <c r="M40" s="3">
        <v>0</v>
      </c>
      <c r="N40" s="3">
        <v>1.1368683772161603E-13</v>
      </c>
      <c r="O40" s="3">
        <v>-4.6895820560166612E-13</v>
      </c>
      <c r="P40" s="3">
        <v>-3.694822225952521E-13</v>
      </c>
      <c r="Q40" s="3">
        <v>3.4106051316484809E-13</v>
      </c>
      <c r="R40" s="3">
        <v>2.2737367544323206E-13</v>
      </c>
      <c r="S40" s="3">
        <v>-1.0658141036401503E-12</v>
      </c>
      <c r="T40" s="3">
        <v>0</v>
      </c>
      <c r="U40" s="3">
        <v>1.1226575225009583E-12</v>
      </c>
      <c r="V40" s="3">
        <v>0</v>
      </c>
      <c r="W40" s="3">
        <v>-1.1937117960769683E-12</v>
      </c>
      <c r="X40" s="3"/>
      <c r="Y40" s="3"/>
      <c r="Z40" s="3"/>
    </row>
    <row r="41" spans="1:26" s="6" customFormat="1" x14ac:dyDescent="0.25">
      <c r="A41" s="176"/>
      <c r="B41" s="5" t="s">
        <v>5</v>
      </c>
      <c r="C41" s="44">
        <v>12477.100786217703</v>
      </c>
      <c r="D41" s="3">
        <v>12477.41301308736</v>
      </c>
      <c r="E41" s="3">
        <v>12477.355494326543</v>
      </c>
      <c r="F41" s="3">
        <v>12716.333385942553</v>
      </c>
      <c r="G41" s="3">
        <v>13146.958885605676</v>
      </c>
      <c r="H41" s="3">
        <v>13769.523897900797</v>
      </c>
      <c r="I41" s="3">
        <v>14221.20462672141</v>
      </c>
      <c r="J41" s="3">
        <v>14662.005948460075</v>
      </c>
      <c r="K41" s="3">
        <v>15026.887060394038</v>
      </c>
      <c r="L41" s="3">
        <v>15440.976634357761</v>
      </c>
      <c r="M41" s="3">
        <v>15783.563140538492</v>
      </c>
      <c r="N41" s="3">
        <v>15927.285578331606</v>
      </c>
      <c r="O41" s="3">
        <v>16265.339797173958</v>
      </c>
      <c r="P41" s="3">
        <v>16426.055263822123</v>
      </c>
      <c r="Q41" s="3">
        <v>16953.829220881104</v>
      </c>
      <c r="R41" s="3">
        <v>17149.659642807073</v>
      </c>
      <c r="S41" s="3">
        <v>17415.920117016442</v>
      </c>
      <c r="T41" s="3">
        <v>17777.31462005412</v>
      </c>
      <c r="U41" s="3">
        <v>18121.336625469601</v>
      </c>
      <c r="V41" s="3">
        <v>18473.443013733606</v>
      </c>
      <c r="W41" s="3">
        <v>19006.355507485463</v>
      </c>
      <c r="X41" s="3"/>
      <c r="Y41" s="3"/>
      <c r="Z41" s="3"/>
    </row>
    <row r="42" spans="1:26" s="6" customFormat="1" ht="15.75" thickBot="1" x14ac:dyDescent="0.3">
      <c r="A42" s="177"/>
      <c r="B42" s="5" t="s">
        <v>1</v>
      </c>
      <c r="C42" s="47">
        <v>20966.918187006151</v>
      </c>
      <c r="D42" s="3">
        <v>20966.821533064263</v>
      </c>
      <c r="E42" s="3">
        <v>21368.397556616626</v>
      </c>
      <c r="F42" s="3">
        <v>22092.016275593476</v>
      </c>
      <c r="G42" s="3">
        <v>23138.168203496549</v>
      </c>
      <c r="H42" s="3">
        <v>23897.167915848448</v>
      </c>
      <c r="I42" s="3">
        <v>24637.885982960976</v>
      </c>
      <c r="J42" s="3">
        <v>25251.028500074004</v>
      </c>
      <c r="K42" s="3">
        <v>25946.860417337863</v>
      </c>
      <c r="L42" s="3">
        <v>26522.539305223479</v>
      </c>
      <c r="M42" s="3">
        <v>26764.049030972285</v>
      </c>
      <c r="N42" s="3">
        <v>27332.111909215186</v>
      </c>
      <c r="O42" s="3">
        <v>27602.176548180349</v>
      </c>
      <c r="P42" s="3">
        <v>28489.042548951613</v>
      </c>
      <c r="Q42" s="3">
        <v>28818.114002364433</v>
      </c>
      <c r="R42" s="3">
        <v>29265.535400800611</v>
      </c>
      <c r="S42" s="3">
        <v>29872.819055711847</v>
      </c>
      <c r="T42" s="3">
        <v>30450.910141941858</v>
      </c>
      <c r="U42" s="3">
        <v>31042.586143057644</v>
      </c>
      <c r="V42" s="3">
        <v>31938.086888733764</v>
      </c>
      <c r="W42" s="3">
        <v>32494.617375649359</v>
      </c>
      <c r="X42" s="3"/>
      <c r="Y42" s="3"/>
      <c r="Z42" s="3"/>
    </row>
    <row r="43" spans="1:26" s="6" customFormat="1" ht="15.75" thickBot="1" x14ac:dyDescent="0.3">
      <c r="A43" s="5"/>
      <c r="B43" s="72" t="s">
        <v>21</v>
      </c>
      <c r="C43" s="73">
        <v>156680.57419459763</v>
      </c>
      <c r="D43" s="73">
        <v>158379.58502830297</v>
      </c>
      <c r="E43" s="73">
        <v>162256.27585737963</v>
      </c>
      <c r="F43" s="73">
        <v>168786.89176473839</v>
      </c>
      <c r="G43" s="73">
        <v>175012.368395375</v>
      </c>
      <c r="H43" s="73">
        <v>181064.1723091497</v>
      </c>
      <c r="I43" s="73">
        <v>185896.74971310125</v>
      </c>
      <c r="J43" s="73">
        <v>191109.21126267279</v>
      </c>
      <c r="K43" s="73">
        <v>195562.82577807747</v>
      </c>
      <c r="L43" s="73">
        <v>198726.97388420967</v>
      </c>
      <c r="M43" s="73">
        <v>202178.33492055899</v>
      </c>
      <c r="N43" s="73">
        <v>204745.00291268851</v>
      </c>
      <c r="O43" s="73">
        <v>209868.79578225253</v>
      </c>
      <c r="P43" s="73">
        <v>213183.48263462487</v>
      </c>
      <c r="Q43" s="73">
        <v>217194.67539151316</v>
      </c>
      <c r="R43" s="73">
        <v>220593.43707837365</v>
      </c>
      <c r="S43" s="73">
        <v>225202.68993720887</v>
      </c>
      <c r="T43" s="73">
        <v>229395.14359014807</v>
      </c>
      <c r="U43" s="73">
        <v>235232.54444606692</v>
      </c>
      <c r="V43" s="73">
        <v>240022.88968269646</v>
      </c>
      <c r="W43" s="73">
        <v>244425.61376955858</v>
      </c>
      <c r="X43" s="26"/>
      <c r="Y43" s="3"/>
      <c r="Z43" s="3"/>
    </row>
    <row r="44" spans="1:26" s="6" customFormat="1" x14ac:dyDescent="0.25">
      <c r="A44" s="10"/>
      <c r="B44" s="1"/>
      <c r="C44" s="7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"/>
    </row>
    <row r="45" spans="1:26" s="6" customFormat="1" ht="15.75" thickBot="1" x14ac:dyDescent="0.3">
      <c r="A45" s="10"/>
      <c r="B45" s="1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</row>
    <row r="46" spans="1:26" s="6" customFormat="1" x14ac:dyDescent="0.25">
      <c r="A46" s="175" t="s">
        <v>8</v>
      </c>
      <c r="B46" s="5" t="s">
        <v>0</v>
      </c>
      <c r="C46" s="7"/>
      <c r="D46" s="7">
        <v>6647.6908930208738</v>
      </c>
      <c r="E46" s="7">
        <v>5239.1537389914884</v>
      </c>
      <c r="F46" s="7">
        <v>3808.145770922798</v>
      </c>
      <c r="G46" s="7">
        <v>5282.6962819200708</v>
      </c>
      <c r="H46" s="7">
        <v>5676.9036972161121</v>
      </c>
      <c r="I46" s="7">
        <v>6774.8316015452438</v>
      </c>
      <c r="J46" s="7">
        <v>6545.7259279717691</v>
      </c>
      <c r="K46" s="7">
        <v>7479.223925819344</v>
      </c>
      <c r="L46" s="7">
        <v>8999.361989353536</v>
      </c>
      <c r="M46" s="7">
        <v>8079.9863826737565</v>
      </c>
      <c r="N46" s="7">
        <v>9408.8208050272951</v>
      </c>
      <c r="O46" s="7">
        <v>6878.2632125933305</v>
      </c>
      <c r="P46" s="7">
        <v>9560.3266033360851</v>
      </c>
      <c r="Q46" s="7">
        <v>8967.3457583633135</v>
      </c>
      <c r="R46" s="7">
        <v>9073.2595144218649</v>
      </c>
      <c r="S46" s="7">
        <v>8793.8773781857744</v>
      </c>
      <c r="T46" s="7">
        <v>9311.2257154668187</v>
      </c>
      <c r="U46" s="7">
        <v>8044.2277310509526</v>
      </c>
      <c r="V46" s="7">
        <v>9821.855573344772</v>
      </c>
      <c r="W46" s="7">
        <v>10322.722592610895</v>
      </c>
      <c r="X46" s="7"/>
    </row>
    <row r="47" spans="1:26" s="6" customFormat="1" x14ac:dyDescent="0.25">
      <c r="A47" s="176"/>
      <c r="B47" s="2" t="s">
        <v>12</v>
      </c>
      <c r="C47" s="7"/>
      <c r="D47" s="7">
        <v>142.58587908668659</v>
      </c>
      <c r="E47" s="7">
        <v>142.55023694316952</v>
      </c>
      <c r="F47" s="7">
        <v>142.50910333507096</v>
      </c>
      <c r="G47" s="7">
        <v>142.57114358399258</v>
      </c>
      <c r="H47" s="7">
        <v>132.70073410943019</v>
      </c>
      <c r="I47" s="7">
        <v>138.839371343148</v>
      </c>
      <c r="J47" s="7">
        <v>136.43340304940273</v>
      </c>
      <c r="K47" s="7">
        <v>158.97286155347223</v>
      </c>
      <c r="L47" s="7">
        <v>150.25349179062823</v>
      </c>
      <c r="M47" s="7">
        <v>168.48315158612445</v>
      </c>
      <c r="N47" s="7">
        <v>159.78141635963982</v>
      </c>
      <c r="O47" s="7">
        <v>177.68233120139774</v>
      </c>
      <c r="P47" s="7">
        <v>178.95136358933934</v>
      </c>
      <c r="Q47" s="7">
        <v>171.15146296104166</v>
      </c>
      <c r="R47" s="7">
        <v>192.75297413686047</v>
      </c>
      <c r="S47" s="7">
        <v>163.33031659771865</v>
      </c>
      <c r="T47" s="7">
        <v>212.20432179679642</v>
      </c>
      <c r="U47" s="7">
        <v>174.35048763256736</v>
      </c>
      <c r="V47" s="7">
        <v>204.12013069587465</v>
      </c>
      <c r="W47" s="7">
        <v>191.20719201198608</v>
      </c>
      <c r="X47" s="7"/>
    </row>
    <row r="48" spans="1:26" s="6" customFormat="1" x14ac:dyDescent="0.25">
      <c r="A48" s="176"/>
      <c r="B48" s="5" t="s">
        <v>4</v>
      </c>
      <c r="C48" s="7"/>
      <c r="D48" s="7">
        <v>1349.0880225398782</v>
      </c>
      <c r="E48" s="7">
        <v>1349.0062105432869</v>
      </c>
      <c r="F48" s="7">
        <v>1349.1750420548444</v>
      </c>
      <c r="G48" s="7">
        <v>1341.2988413565099</v>
      </c>
      <c r="H48" s="7">
        <v>1393.1626445800721</v>
      </c>
      <c r="I48" s="7">
        <v>1434.8671897963109</v>
      </c>
      <c r="J48" s="7">
        <v>1531.7320204870641</v>
      </c>
      <c r="K48" s="7">
        <v>1539.8189898747282</v>
      </c>
      <c r="L48" s="7">
        <v>1619.0467959704283</v>
      </c>
      <c r="M48" s="7">
        <v>1625.6617578636392</v>
      </c>
      <c r="N48" s="7">
        <v>1702.2417977171158</v>
      </c>
      <c r="O48" s="7">
        <v>1714.56778925207</v>
      </c>
      <c r="P48" s="7">
        <v>1719.9323728138961</v>
      </c>
      <c r="Q48" s="7">
        <v>1792.0707833437659</v>
      </c>
      <c r="R48" s="7">
        <v>1751.1459042699253</v>
      </c>
      <c r="S48" s="7">
        <v>1902.7399495180489</v>
      </c>
      <c r="T48" s="7">
        <v>1814.7130290789291</v>
      </c>
      <c r="U48" s="7">
        <v>1928.8269989255509</v>
      </c>
      <c r="V48" s="7">
        <v>1916.9680603274326</v>
      </c>
      <c r="W48" s="7">
        <v>1988.2452271369698</v>
      </c>
      <c r="X48" s="7"/>
    </row>
    <row r="49" spans="1:26" s="6" customFormat="1" x14ac:dyDescent="0.25">
      <c r="A49" s="176"/>
      <c r="B49" s="5" t="s">
        <v>73</v>
      </c>
      <c r="C49" s="7"/>
      <c r="D49" s="7">
        <v>8630.4368880211678</v>
      </c>
      <c r="E49" s="7">
        <v>8631.1517948135188</v>
      </c>
      <c r="F49" s="7">
        <v>8622.7949021833592</v>
      </c>
      <c r="G49" s="7">
        <v>8906.8390416761085</v>
      </c>
      <c r="H49" s="7">
        <v>9208.4185844446874</v>
      </c>
      <c r="I49" s="7">
        <v>9737.490328446167</v>
      </c>
      <c r="J49" s="7">
        <v>9894.3831457534088</v>
      </c>
      <c r="K49" s="7">
        <v>10308.279500330173</v>
      </c>
      <c r="L49" s="7">
        <v>10442.853440761659</v>
      </c>
      <c r="M49" s="7">
        <v>10840.893854115218</v>
      </c>
      <c r="N49" s="7">
        <v>10968.426708971267</v>
      </c>
      <c r="O49" s="7">
        <v>11041.28794847465</v>
      </c>
      <c r="P49" s="7">
        <v>11396.736675066937</v>
      </c>
      <c r="Q49" s="7">
        <v>11320.17959845714</v>
      </c>
      <c r="R49" s="7">
        <v>12013.852398896706</v>
      </c>
      <c r="S49" s="7">
        <v>11745.31698251413</v>
      </c>
      <c r="T49" s="7">
        <v>12252.183459490945</v>
      </c>
      <c r="U49" s="7">
        <v>12317.871843391671</v>
      </c>
      <c r="V49" s="7">
        <v>12679.550583467546</v>
      </c>
      <c r="W49" s="7">
        <v>12832.226273382883</v>
      </c>
      <c r="X49" s="7"/>
    </row>
    <row r="50" spans="1:26" s="6" customFormat="1" x14ac:dyDescent="0.25">
      <c r="A50" s="176"/>
      <c r="B50" s="5" t="s">
        <v>2</v>
      </c>
      <c r="C50" s="7"/>
      <c r="D50" s="7">
        <v>14486.167604662583</v>
      </c>
      <c r="E50" s="7">
        <v>14763.620130026033</v>
      </c>
      <c r="F50" s="7">
        <v>15263.574881319129</v>
      </c>
      <c r="G50" s="7">
        <v>15986.370758779432</v>
      </c>
      <c r="H50" s="7">
        <v>16510.770560040746</v>
      </c>
      <c r="I50" s="7">
        <v>17022.5394064094</v>
      </c>
      <c r="J50" s="7">
        <v>17446.165145505678</v>
      </c>
      <c r="K50" s="7">
        <v>17926.921742887978</v>
      </c>
      <c r="L50" s="7">
        <v>18324.66351997259</v>
      </c>
      <c r="M50" s="7">
        <v>18491.524785035399</v>
      </c>
      <c r="N50" s="7">
        <v>18884.004591821402</v>
      </c>
      <c r="O50" s="7">
        <v>19070.594706015512</v>
      </c>
      <c r="P50" s="7">
        <v>19683.338488366571</v>
      </c>
      <c r="Q50" s="7">
        <v>19910.696947088156</v>
      </c>
      <c r="R50" s="7">
        <v>20219.824458734973</v>
      </c>
      <c r="S50" s="7">
        <v>20639.402256673642</v>
      </c>
      <c r="T50" s="7">
        <v>21038.810643523466</v>
      </c>
      <c r="U50" s="7">
        <v>21447.6049715671</v>
      </c>
      <c r="V50" s="7">
        <v>22066.314577670604</v>
      </c>
      <c r="W50" s="7">
        <v>22450.826550448652</v>
      </c>
      <c r="X50" s="7"/>
    </row>
    <row r="51" spans="1:26" s="6" customFormat="1" x14ac:dyDescent="0.25">
      <c r="A51" s="176"/>
      <c r="B51" s="5" t="s">
        <v>6</v>
      </c>
      <c r="C51" s="7"/>
      <c r="D51" s="7">
        <v>12415.962992365236</v>
      </c>
      <c r="E51" s="7">
        <v>12416.273689323232</v>
      </c>
      <c r="F51" s="7">
        <v>12416.216452404342</v>
      </c>
      <c r="G51" s="7">
        <v>12654.023352351434</v>
      </c>
      <c r="H51" s="7">
        <v>13082.538787066209</v>
      </c>
      <c r="I51" s="7">
        <v>13702.053230801082</v>
      </c>
      <c r="J51" s="7">
        <v>14151.520724050475</v>
      </c>
      <c r="K51" s="7">
        <v>14590.162119312621</v>
      </c>
      <c r="L51" s="7">
        <v>14953.255313798107</v>
      </c>
      <c r="M51" s="7">
        <v>15365.315848849408</v>
      </c>
      <c r="N51" s="7">
        <v>15706.223681149853</v>
      </c>
      <c r="O51" s="7">
        <v>15849.241878997782</v>
      </c>
      <c r="P51" s="7">
        <v>16185.639632167806</v>
      </c>
      <c r="Q51" s="7">
        <v>16345.567593029395</v>
      </c>
      <c r="R51" s="7">
        <v>16870.755457698786</v>
      </c>
      <c r="S51" s="7">
        <v>17065.62631055732</v>
      </c>
      <c r="T51" s="7">
        <v>17330.582108443061</v>
      </c>
      <c r="U51" s="7">
        <v>17690.205778415853</v>
      </c>
      <c r="V51" s="7">
        <v>18032.5420760048</v>
      </c>
      <c r="W51" s="7">
        <v>18382.923142966312</v>
      </c>
      <c r="X51" s="7"/>
    </row>
    <row r="52" spans="1:26" s="6" customFormat="1" x14ac:dyDescent="0.25">
      <c r="A52" s="176"/>
      <c r="B52" s="5" t="s">
        <v>5</v>
      </c>
      <c r="C52" s="7"/>
      <c r="D52" s="7">
        <v>8386.7672748024615</v>
      </c>
      <c r="E52" s="7">
        <v>8386.728613225705</v>
      </c>
      <c r="F52" s="7">
        <v>8547.3590226466513</v>
      </c>
      <c r="G52" s="7">
        <v>8836.8065102373912</v>
      </c>
      <c r="H52" s="7">
        <v>9255.2672813986192</v>
      </c>
      <c r="I52" s="7">
        <v>9558.8671663393798</v>
      </c>
      <c r="J52" s="7">
        <v>9855.1543931843917</v>
      </c>
      <c r="K52" s="7">
        <v>10100.411400029603</v>
      </c>
      <c r="L52" s="7">
        <v>10378.744166935146</v>
      </c>
      <c r="M52" s="7">
        <v>10609.015722089393</v>
      </c>
      <c r="N52" s="7">
        <v>10705.619612388915</v>
      </c>
      <c r="O52" s="7">
        <v>10932.844763686075</v>
      </c>
      <c r="P52" s="7">
        <v>11040.87061927214</v>
      </c>
      <c r="Q52" s="7">
        <v>11395.617019580646</v>
      </c>
      <c r="R52" s="7">
        <v>11527.245600945775</v>
      </c>
      <c r="S52" s="7">
        <v>11706.214160320245</v>
      </c>
      <c r="T52" s="7">
        <v>11949.127622284739</v>
      </c>
      <c r="U52" s="7">
        <v>12180.364056776743</v>
      </c>
      <c r="V52" s="7">
        <v>12417.034457223059</v>
      </c>
      <c r="W52" s="7">
        <v>12775.234755493506</v>
      </c>
      <c r="X52" s="7"/>
    </row>
    <row r="53" spans="1:26" s="6" customFormat="1" ht="15.75" thickBot="1" x14ac:dyDescent="0.3">
      <c r="A53" s="177"/>
      <c r="B53" s="5" t="s">
        <v>1</v>
      </c>
      <c r="C53" s="7"/>
      <c r="D53" s="7">
        <v>15248.597478592194</v>
      </c>
      <c r="E53" s="7">
        <v>15540.652768448455</v>
      </c>
      <c r="F53" s="7">
        <v>16066.920927704348</v>
      </c>
      <c r="G53" s="7">
        <v>16827.758693452033</v>
      </c>
      <c r="H53" s="7">
        <v>17379.75848425342</v>
      </c>
      <c r="I53" s="7">
        <v>17918.462533062528</v>
      </c>
      <c r="J53" s="7">
        <v>18364.384363690184</v>
      </c>
      <c r="K53" s="7">
        <v>18870.443939882083</v>
      </c>
      <c r="L53" s="7">
        <v>19289.119494707989</v>
      </c>
      <c r="M53" s="7">
        <v>19464.762931616209</v>
      </c>
      <c r="N53" s="7">
        <v>19877.899570338319</v>
      </c>
      <c r="O53" s="7">
        <v>20074.310216858437</v>
      </c>
      <c r="P53" s="7">
        <v>20719.303671964808</v>
      </c>
      <c r="Q53" s="7">
        <v>20958.628365355951</v>
      </c>
      <c r="R53" s="7">
        <v>21284.025746036812</v>
      </c>
      <c r="S53" s="7">
        <v>21725.686585972257</v>
      </c>
      <c r="T53" s="7">
        <v>22146.116466866806</v>
      </c>
      <c r="U53" s="7">
        <v>22576.426285860107</v>
      </c>
      <c r="V53" s="7">
        <v>23227.699555442741</v>
      </c>
      <c r="W53" s="7">
        <v>23632.449000472265</v>
      </c>
      <c r="X53" s="7"/>
    </row>
    <row r="54" spans="1:26" s="6" customFormat="1" ht="15.75" thickBot="1" x14ac:dyDescent="0.3">
      <c r="A54" s="10"/>
      <c r="B54" s="72" t="s">
        <v>21</v>
      </c>
      <c r="C54" s="73"/>
      <c r="D54" s="73">
        <v>67307.297033091076</v>
      </c>
      <c r="E54" s="73">
        <v>66469.137182314895</v>
      </c>
      <c r="F54" s="73">
        <v>66216.696102570539</v>
      </c>
      <c r="G54" s="73">
        <v>69978.364623356974</v>
      </c>
      <c r="H54" s="73">
        <v>72639.520773109296</v>
      </c>
      <c r="I54" s="73">
        <v>76287.950827743261</v>
      </c>
      <c r="J54" s="73">
        <v>77925.499123692367</v>
      </c>
      <c r="K54" s="73">
        <v>80974.23447969</v>
      </c>
      <c r="L54" s="73">
        <v>84157.298213290094</v>
      </c>
      <c r="M54" s="73">
        <v>84645.644433829148</v>
      </c>
      <c r="N54" s="73">
        <v>87413.018183773791</v>
      </c>
      <c r="O54" s="73">
        <v>85738.792847079254</v>
      </c>
      <c r="P54" s="73">
        <v>90485.099426577581</v>
      </c>
      <c r="Q54" s="73">
        <v>90861.257528179412</v>
      </c>
      <c r="R54" s="73">
        <v>92932.862055141712</v>
      </c>
      <c r="S54" s="73">
        <v>93742.193940339144</v>
      </c>
      <c r="T54" s="73">
        <v>96054.963366951561</v>
      </c>
      <c r="U54" s="73">
        <v>96359.87815362055</v>
      </c>
      <c r="V54" s="73">
        <v>100366.08501417683</v>
      </c>
      <c r="W54" s="73">
        <v>102575.83473452348</v>
      </c>
      <c r="X54" s="7"/>
    </row>
    <row r="59" spans="1:26" ht="15.75" thickBot="1" x14ac:dyDescent="0.3"/>
    <row r="60" spans="1:26" ht="21.75" thickBot="1" x14ac:dyDescent="0.4">
      <c r="A60" s="192" t="s">
        <v>127</v>
      </c>
      <c r="B60" s="193"/>
      <c r="C60" s="193"/>
      <c r="D60" s="193"/>
      <c r="E60" s="193"/>
      <c r="F60" s="193"/>
      <c r="G60" s="193"/>
      <c r="H60" s="193"/>
      <c r="I60" s="194"/>
    </row>
    <row r="61" spans="1:26" ht="15.75" thickBot="1" x14ac:dyDescent="0.3">
      <c r="C61" s="74"/>
      <c r="D61" s="7"/>
      <c r="E61" s="7"/>
    </row>
    <row r="62" spans="1:26" ht="15.75" thickBot="1" x14ac:dyDescent="0.3">
      <c r="B62" s="17"/>
      <c r="C62" s="18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</row>
    <row r="63" spans="1:26" s="12" customFormat="1" ht="25.5" customHeight="1" thickBot="1" x14ac:dyDescent="0.3">
      <c r="A63" s="9"/>
      <c r="B63" s="8"/>
      <c r="C63" s="45">
        <v>0</v>
      </c>
      <c r="D63" s="25">
        <v>1</v>
      </c>
      <c r="E63" s="25">
        <v>2</v>
      </c>
      <c r="F63" s="25">
        <v>3</v>
      </c>
      <c r="G63" s="25">
        <v>4</v>
      </c>
      <c r="H63" s="25">
        <v>5</v>
      </c>
      <c r="I63" s="25">
        <v>6</v>
      </c>
      <c r="J63" s="25">
        <v>7</v>
      </c>
      <c r="K63" s="25">
        <v>8</v>
      </c>
      <c r="L63" s="25">
        <v>9</v>
      </c>
      <c r="M63" s="25">
        <v>10</v>
      </c>
      <c r="N63" s="25">
        <v>11</v>
      </c>
      <c r="O63" s="25">
        <v>12</v>
      </c>
      <c r="P63" s="25">
        <v>13</v>
      </c>
      <c r="Q63" s="25">
        <v>14</v>
      </c>
      <c r="R63" s="25">
        <v>15</v>
      </c>
      <c r="S63" s="25">
        <v>16</v>
      </c>
      <c r="T63" s="25">
        <v>17</v>
      </c>
      <c r="U63" s="25">
        <v>18</v>
      </c>
      <c r="V63" s="25">
        <v>19</v>
      </c>
      <c r="W63" s="25">
        <v>20</v>
      </c>
      <c r="X63"/>
      <c r="Y63" s="8"/>
      <c r="Z63" s="8"/>
    </row>
    <row r="64" spans="1:26" s="6" customFormat="1" ht="15.75" thickTop="1" x14ac:dyDescent="0.25">
      <c r="A64" s="175" t="s">
        <v>9</v>
      </c>
      <c r="B64" s="5" t="s">
        <v>0</v>
      </c>
      <c r="C64" s="46">
        <v>76451.677355428925</v>
      </c>
      <c r="D64" s="3">
        <v>84760.776554048847</v>
      </c>
      <c r="E64" s="3">
        <v>92812.839334645265</v>
      </c>
      <c r="F64" s="3">
        <v>100630.6945002603</v>
      </c>
      <c r="G64" s="3">
        <v>108348.75391416466</v>
      </c>
      <c r="H64" s="3">
        <v>117371.59228705708</v>
      </c>
      <c r="I64" s="3">
        <v>120476.15975153151</v>
      </c>
      <c r="J64" s="3">
        <v>123801.92630387648</v>
      </c>
      <c r="K64" s="3">
        <v>122910.42528527683</v>
      </c>
      <c r="L64" s="3">
        <v>123757.20171008848</v>
      </c>
      <c r="M64" s="3">
        <v>125931.96902111602</v>
      </c>
      <c r="N64" s="3">
        <v>127824.96263682281</v>
      </c>
      <c r="O64" s="3">
        <v>129556.31543145407</v>
      </c>
      <c r="P64" s="3">
        <v>132385.02980027586</v>
      </c>
      <c r="Q64" s="3">
        <v>136009.3762106139</v>
      </c>
      <c r="R64" s="3">
        <v>136955.87301846727</v>
      </c>
      <c r="S64" s="3">
        <v>138687.22581309854</v>
      </c>
      <c r="T64" s="3">
        <v>143247.2929765516</v>
      </c>
      <c r="U64" s="3">
        <v>145140.2865922584</v>
      </c>
      <c r="V64" s="3">
        <v>147817.53752503535</v>
      </c>
      <c r="W64" s="3">
        <v>148764.03433288875</v>
      </c>
      <c r="X64"/>
      <c r="Y64" s="3"/>
      <c r="Z64" s="3"/>
    </row>
    <row r="65" spans="1:26" s="6" customFormat="1" x14ac:dyDescent="0.25">
      <c r="A65" s="176"/>
      <c r="B65" s="2" t="s">
        <v>12</v>
      </c>
      <c r="C65" s="44">
        <v>2111.6919277867255</v>
      </c>
      <c r="D65" s="3">
        <v>2111.4499184874658</v>
      </c>
      <c r="E65" s="3">
        <v>2111.3655078419706</v>
      </c>
      <c r="F65" s="3">
        <v>2111.5703832515665</v>
      </c>
      <c r="G65" s="3">
        <v>2111.3816857588936</v>
      </c>
      <c r="H65" s="3">
        <v>2503.6860252147817</v>
      </c>
      <c r="I65" s="3">
        <v>2541.6797631082172</v>
      </c>
      <c r="J65" s="3">
        <v>2838.9754751398286</v>
      </c>
      <c r="K65" s="3">
        <v>3025.3336307057889</v>
      </c>
      <c r="L65" s="3">
        <v>3285.163358033491</v>
      </c>
      <c r="M65" s="3">
        <v>3252.9568618062222</v>
      </c>
      <c r="N65" s="3">
        <v>3466.1228744568598</v>
      </c>
      <c r="O65" s="3">
        <v>3305.9401269299979</v>
      </c>
      <c r="P65" s="3">
        <v>3469.2254503950917</v>
      </c>
      <c r="Q65" s="3">
        <v>3490.0074358657766</v>
      </c>
      <c r="R65" s="3">
        <v>3519.9310522541546</v>
      </c>
      <c r="S65" s="3">
        <v>3601.8017815345029</v>
      </c>
      <c r="T65" s="3">
        <v>3672.744692928427</v>
      </c>
      <c r="U65" s="3">
        <v>3781.3152756386517</v>
      </c>
      <c r="V65" s="3">
        <v>3743.4221180318527</v>
      </c>
      <c r="W65" s="3">
        <v>3866.5457297244047</v>
      </c>
      <c r="X65"/>
      <c r="Y65" s="3"/>
      <c r="Z65" s="3"/>
    </row>
    <row r="66" spans="1:26" s="6" customFormat="1" x14ac:dyDescent="0.25">
      <c r="A66" s="176"/>
      <c r="B66" s="5" t="s">
        <v>4</v>
      </c>
      <c r="C66" s="44">
        <v>10386.971373204462</v>
      </c>
      <c r="D66" s="3">
        <v>10386.556127287104</v>
      </c>
      <c r="E66" s="3">
        <v>10387.563982124631</v>
      </c>
      <c r="F66" s="3">
        <v>10386.635712200999</v>
      </c>
      <c r="G66" s="3">
        <v>12316.519962750126</v>
      </c>
      <c r="H66" s="3">
        <v>12503.424641096868</v>
      </c>
      <c r="I66" s="3">
        <v>13965.927740607205</v>
      </c>
      <c r="J66" s="3">
        <v>14882.689634923634</v>
      </c>
      <c r="K66" s="3">
        <v>16160.884261293775</v>
      </c>
      <c r="L66" s="3">
        <v>16002.449078240277</v>
      </c>
      <c r="M66" s="3">
        <v>17051.088334021631</v>
      </c>
      <c r="N66" s="3">
        <v>16263.092559897559</v>
      </c>
      <c r="O66" s="3">
        <v>17066.351005975837</v>
      </c>
      <c r="P66" s="3">
        <v>17168.584966759052</v>
      </c>
      <c r="Q66" s="3">
        <v>17315.789853830909</v>
      </c>
      <c r="R66" s="3">
        <v>17718.541022064888</v>
      </c>
      <c r="S66" s="3">
        <v>18067.534376502739</v>
      </c>
      <c r="T66" s="3">
        <v>18601.631597899803</v>
      </c>
      <c r="U66" s="3">
        <v>18415.221709672813</v>
      </c>
      <c r="V66" s="3">
        <v>19020.910444611982</v>
      </c>
      <c r="W66" s="3">
        <v>19701.166824990305</v>
      </c>
      <c r="X66"/>
      <c r="Y66" s="3"/>
      <c r="Z66" s="3"/>
    </row>
    <row r="67" spans="1:26" s="6" customFormat="1" x14ac:dyDescent="0.25">
      <c r="A67" s="176"/>
      <c r="B67" s="5" t="s">
        <v>73</v>
      </c>
      <c r="C67" s="44">
        <v>12556.862989329104</v>
      </c>
      <c r="D67" s="3">
        <v>12557.853833370338</v>
      </c>
      <c r="E67" s="3">
        <v>12557.041252146208</v>
      </c>
      <c r="F67" s="3">
        <v>14581.370776606222</v>
      </c>
      <c r="G67" s="3">
        <v>15086.086554255544</v>
      </c>
      <c r="H67" s="3">
        <v>16650.166597192172</v>
      </c>
      <c r="I67" s="3">
        <v>17845.764591831849</v>
      </c>
      <c r="J67" s="3">
        <v>19333.22963921546</v>
      </c>
      <c r="K67" s="3">
        <v>19371.452725357736</v>
      </c>
      <c r="L67" s="3">
        <v>20446.152453779127</v>
      </c>
      <c r="M67" s="3">
        <v>19787.243676525879</v>
      </c>
      <c r="N67" s="3">
        <v>20503.848418529109</v>
      </c>
      <c r="O67" s="3">
        <v>20739.559995337517</v>
      </c>
      <c r="P67" s="3">
        <v>20910.330629388416</v>
      </c>
      <c r="Q67" s="3">
        <v>21356.36548871575</v>
      </c>
      <c r="R67" s="3">
        <v>21786.877566970303</v>
      </c>
      <c r="S67" s="3">
        <v>22402.968836480683</v>
      </c>
      <c r="T67" s="3">
        <v>22292.841170073487</v>
      </c>
      <c r="U67" s="3">
        <v>22898.405007092257</v>
      </c>
      <c r="V67" s="3">
        <v>23708.873223659077</v>
      </c>
      <c r="W67" s="3">
        <v>23576.514465454078</v>
      </c>
      <c r="X67" s="3"/>
      <c r="Y67" s="3"/>
      <c r="Z67" s="3"/>
    </row>
    <row r="68" spans="1:26" s="6" customFormat="1" x14ac:dyDescent="0.25">
      <c r="A68" s="176"/>
      <c r="B68" s="5" t="s">
        <v>2</v>
      </c>
      <c r="C68" s="44">
        <v>21729.351575624558</v>
      </c>
      <c r="D68" s="3">
        <v>21729.251406993873</v>
      </c>
      <c r="E68" s="3">
        <v>23765.672901493734</v>
      </c>
      <c r="F68" s="3">
        <v>25739.433472738594</v>
      </c>
      <c r="G68" s="3">
        <v>27678.7921147124</v>
      </c>
      <c r="H68" s="3">
        <v>30014.480872769258</v>
      </c>
      <c r="I68" s="3">
        <v>32377.035026653371</v>
      </c>
      <c r="J68" s="3">
        <v>33492.619661873323</v>
      </c>
      <c r="K68" s="3">
        <v>34601.729889828872</v>
      </c>
      <c r="L68" s="3">
        <v>34716.918956581401</v>
      </c>
      <c r="M68" s="3">
        <v>34960.875096726166</v>
      </c>
      <c r="N68" s="3">
        <v>35716.980114735758</v>
      </c>
      <c r="O68" s="3">
        <v>36059.506921620261</v>
      </c>
      <c r="P68" s="3">
        <v>36631.996345137872</v>
      </c>
      <c r="Q68" s="3">
        <v>37388.193586865615</v>
      </c>
      <c r="R68" s="3">
        <v>38319.891932893952</v>
      </c>
      <c r="S68" s="3">
        <v>38655.206278107114</v>
      </c>
      <c r="T68" s="3">
        <v>39184.816315671444</v>
      </c>
      <c r="U68" s="3">
        <v>40438.869891965325</v>
      </c>
      <c r="V68" s="3">
        <v>40892.56859855575</v>
      </c>
      <c r="W68" s="3">
        <v>41686.901056260867</v>
      </c>
      <c r="X68" s="3"/>
      <c r="Y68" s="3"/>
      <c r="Z68" s="3"/>
    </row>
    <row r="69" spans="1:26" s="6" customFormat="1" x14ac:dyDescent="0.25">
      <c r="A69" s="176"/>
      <c r="B69" s="5" t="s">
        <v>6</v>
      </c>
      <c r="C69" s="44">
        <v>-8.0291329140891321E-13</v>
      </c>
      <c r="D69" s="3">
        <v>6.9633188104489818E-13</v>
      </c>
      <c r="E69" s="3">
        <v>-2.9842794901924208E-13</v>
      </c>
      <c r="F69" s="3">
        <v>6.4659388954169117E-13</v>
      </c>
      <c r="G69" s="3">
        <v>7.673861546209082E-13</v>
      </c>
      <c r="H69" s="3">
        <v>0</v>
      </c>
      <c r="I69" s="3">
        <v>-7.815970093361102E-13</v>
      </c>
      <c r="J69" s="3">
        <v>-2.1316282072803006E-13</v>
      </c>
      <c r="K69" s="3">
        <v>3.1263880373444408E-13</v>
      </c>
      <c r="L69" s="3">
        <v>4.6895820560166612E-13</v>
      </c>
      <c r="M69" s="3">
        <v>-9.2370555648813024E-13</v>
      </c>
      <c r="N69" s="3">
        <v>5.4001247917767614E-13</v>
      </c>
      <c r="O69" s="3">
        <v>6.9633188104489818E-13</v>
      </c>
      <c r="P69" s="3">
        <v>1.0231815394945443E-12</v>
      </c>
      <c r="Q69" s="3">
        <v>-1.2221335055073723E-12</v>
      </c>
      <c r="R69" s="3">
        <v>-1.0089706847793423E-12</v>
      </c>
      <c r="S69" s="3">
        <v>-8.5265128291212022E-13</v>
      </c>
      <c r="T69" s="3">
        <v>1.1652900866465643E-12</v>
      </c>
      <c r="U69" s="3">
        <v>-1.7053025658242404E-12</v>
      </c>
      <c r="V69" s="3">
        <v>-1.0658141036401503E-12</v>
      </c>
      <c r="W69" s="3">
        <v>1.2363443602225743E-12</v>
      </c>
      <c r="X69" s="3"/>
      <c r="Y69" s="3"/>
      <c r="Z69" s="3"/>
    </row>
    <row r="70" spans="1:26" s="6" customFormat="1" x14ac:dyDescent="0.25">
      <c r="A70" s="176"/>
      <c r="B70" s="5" t="s">
        <v>5</v>
      </c>
      <c r="C70" s="44">
        <v>12477.100786217703</v>
      </c>
      <c r="D70" s="3">
        <v>12477.41301308736</v>
      </c>
      <c r="E70" s="3">
        <v>12477.355494326543</v>
      </c>
      <c r="F70" s="3">
        <v>13646.70801583054</v>
      </c>
      <c r="G70" s="3">
        <v>14780.079425955624</v>
      </c>
      <c r="H70" s="3">
        <v>15893.696584396388</v>
      </c>
      <c r="I70" s="3">
        <v>17234.894143967969</v>
      </c>
      <c r="J70" s="3">
        <v>18591.518332278567</v>
      </c>
      <c r="K70" s="3">
        <v>19232.108558648157</v>
      </c>
      <c r="L70" s="3">
        <v>19868.98105542182</v>
      </c>
      <c r="M70" s="3">
        <v>19935.124840498025</v>
      </c>
      <c r="N70" s="3">
        <v>20075.209164094664</v>
      </c>
      <c r="O70" s="3">
        <v>20509.379256936118</v>
      </c>
      <c r="P70" s="3">
        <v>20706.064759615652</v>
      </c>
      <c r="Q70" s="3">
        <v>21034.79923464097</v>
      </c>
      <c r="R70" s="3">
        <v>21469.02228412114</v>
      </c>
      <c r="S70" s="3">
        <v>22004.021454554131</v>
      </c>
      <c r="T70" s="3">
        <v>22196.565422554118</v>
      </c>
      <c r="U70" s="3">
        <v>22500.677726668142</v>
      </c>
      <c r="V70" s="3">
        <v>23220.779491210022</v>
      </c>
      <c r="W70" s="3">
        <v>23481.30204412332</v>
      </c>
      <c r="X70" s="3"/>
      <c r="Y70" s="3"/>
      <c r="Z70" s="3"/>
    </row>
    <row r="71" spans="1:26" s="6" customFormat="1" ht="15.75" thickBot="1" x14ac:dyDescent="0.3">
      <c r="A71" s="177"/>
      <c r="B71" s="5" t="s">
        <v>1</v>
      </c>
      <c r="C71" s="47">
        <v>20966.918187006151</v>
      </c>
      <c r="D71" s="3">
        <v>20966.821533064263</v>
      </c>
      <c r="E71" s="3">
        <v>22931.789641792202</v>
      </c>
      <c r="F71" s="3">
        <v>24836.295456151274</v>
      </c>
      <c r="G71" s="3">
        <v>26707.606426476876</v>
      </c>
      <c r="H71" s="3">
        <v>28961.34119302297</v>
      </c>
      <c r="I71" s="3">
        <v>31240.998709928695</v>
      </c>
      <c r="J71" s="3">
        <v>32317.440024614611</v>
      </c>
      <c r="K71" s="3">
        <v>33387.634104220844</v>
      </c>
      <c r="L71" s="3">
        <v>33498.781449332928</v>
      </c>
      <c r="M71" s="3">
        <v>33734.177724911213</v>
      </c>
      <c r="N71" s="3">
        <v>34463.752742288889</v>
      </c>
      <c r="O71" s="3">
        <v>34794.261064721308</v>
      </c>
      <c r="P71" s="3">
        <v>35346.663140045319</v>
      </c>
      <c r="Q71" s="3">
        <v>36076.327145221207</v>
      </c>
      <c r="R71" s="3">
        <v>36975.334321213464</v>
      </c>
      <c r="S71" s="3">
        <v>37298.883250805113</v>
      </c>
      <c r="T71" s="3">
        <v>37809.910480033846</v>
      </c>
      <c r="U71" s="3">
        <v>39019.962176457775</v>
      </c>
      <c r="V71" s="3">
        <v>39457.741630185381</v>
      </c>
      <c r="W71" s="3">
        <v>40224.20277358505</v>
      </c>
      <c r="X71" s="3"/>
      <c r="Y71" s="3"/>
      <c r="Z71" s="3"/>
    </row>
    <row r="72" spans="1:26" s="6" customFormat="1" ht="15.75" thickBot="1" x14ac:dyDescent="0.3">
      <c r="A72" s="5"/>
      <c r="B72" s="72" t="s">
        <v>21</v>
      </c>
      <c r="C72" s="73">
        <v>156680.57419459763</v>
      </c>
      <c r="D72" s="73">
        <v>164990.12238633924</v>
      </c>
      <c r="E72" s="73">
        <v>177043.62811437057</v>
      </c>
      <c r="F72" s="73">
        <v>191932.70831703951</v>
      </c>
      <c r="G72" s="73">
        <v>207029.22008407413</v>
      </c>
      <c r="H72" s="73">
        <v>223898.38820074953</v>
      </c>
      <c r="I72" s="73">
        <v>235682.45972762886</v>
      </c>
      <c r="J72" s="73">
        <v>245258.39907192189</v>
      </c>
      <c r="K72" s="73">
        <v>248689.56845533196</v>
      </c>
      <c r="L72" s="73">
        <v>251575.64806147749</v>
      </c>
      <c r="M72" s="73">
        <v>254653.43555560519</v>
      </c>
      <c r="N72" s="73">
        <v>258313.96851082565</v>
      </c>
      <c r="O72" s="73">
        <v>262031.31380297506</v>
      </c>
      <c r="P72" s="73">
        <v>266617.89509161731</v>
      </c>
      <c r="Q72" s="73">
        <v>272670.85895575414</v>
      </c>
      <c r="R72" s="73">
        <v>276745.47119798517</v>
      </c>
      <c r="S72" s="73">
        <v>280717.64179108286</v>
      </c>
      <c r="T72" s="73">
        <v>287005.80265571276</v>
      </c>
      <c r="U72" s="73">
        <v>292194.73837975331</v>
      </c>
      <c r="V72" s="73">
        <v>297861.83303128945</v>
      </c>
      <c r="W72" s="73">
        <v>301300.66722702677</v>
      </c>
      <c r="X72" s="26"/>
      <c r="Y72" s="3"/>
      <c r="Z72" s="3"/>
    </row>
    <row r="73" spans="1:26" s="6" customFormat="1" x14ac:dyDescent="0.25">
      <c r="A73" s="10"/>
      <c r="B73" s="1"/>
      <c r="C73" s="7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"/>
    </row>
    <row r="74" spans="1:26" s="6" customFormat="1" ht="15.75" thickBot="1" x14ac:dyDescent="0.3">
      <c r="A74" s="10"/>
      <c r="B74" s="1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spans="1:26" s="6" customFormat="1" x14ac:dyDescent="0.25">
      <c r="A75" s="175" t="s">
        <v>8</v>
      </c>
      <c r="B75" s="5" t="s">
        <v>0</v>
      </c>
      <c r="C75" s="7"/>
      <c r="D75" s="7">
        <v>37.153534984594444</v>
      </c>
      <c r="E75" s="7">
        <v>60.217531906295335</v>
      </c>
      <c r="F75" s="7">
        <v>68.863880018412601</v>
      </c>
      <c r="G75" s="7">
        <v>30.389623966766521</v>
      </c>
      <c r="H75" s="7">
        <v>66.601250566949602</v>
      </c>
      <c r="I75" s="7">
        <v>6261.3530978581839</v>
      </c>
      <c r="J75" s="7">
        <v>7197.3196981912188</v>
      </c>
      <c r="K75" s="7">
        <v>12352.588828930049</v>
      </c>
      <c r="L75" s="7">
        <v>11810.225604181032</v>
      </c>
      <c r="M75" s="7">
        <v>10586.199031738201</v>
      </c>
      <c r="N75" s="7">
        <v>11589.561941326945</v>
      </c>
      <c r="O75" s="7">
        <v>11271.883577502085</v>
      </c>
      <c r="P75" s="7">
        <v>10645.642405759572</v>
      </c>
      <c r="Q75" s="7">
        <v>9991.1527884777461</v>
      </c>
      <c r="R75" s="7">
        <v>12719.337347549415</v>
      </c>
      <c r="S75" s="7">
        <v>12270.439107868355</v>
      </c>
      <c r="T75" s="7">
        <v>9762.3911556935927</v>
      </c>
      <c r="U75" s="7">
        <v>12779.857042573276</v>
      </c>
      <c r="V75" s="7">
        <v>11906.357381676091</v>
      </c>
      <c r="W75" s="7">
        <v>14046.576383744658</v>
      </c>
      <c r="X75" s="7"/>
    </row>
    <row r="76" spans="1:26" s="6" customFormat="1" x14ac:dyDescent="0.25">
      <c r="A76" s="176"/>
      <c r="B76" s="2" t="s">
        <v>12</v>
      </c>
      <c r="C76" s="7"/>
      <c r="D76" s="7">
        <v>142.58587908668659</v>
      </c>
      <c r="E76" s="7">
        <v>142.55023694316952</v>
      </c>
      <c r="F76" s="7">
        <v>142.50910333507096</v>
      </c>
      <c r="G76" s="7">
        <v>142.57114358399258</v>
      </c>
      <c r="H76" s="7">
        <v>94.481173221711458</v>
      </c>
      <c r="I76" s="7">
        <v>164.36507122749646</v>
      </c>
      <c r="J76" s="7">
        <v>135.16755424944193</v>
      </c>
      <c r="K76" s="7">
        <v>168.82636836696867</v>
      </c>
      <c r="L76" s="7">
        <v>172.40737172788482</v>
      </c>
      <c r="M76" s="7">
        <v>225.72005597818037</v>
      </c>
      <c r="N76" s="7">
        <v>193.48970422604322</v>
      </c>
      <c r="O76" s="7">
        <v>253.61234140535407</v>
      </c>
      <c r="P76" s="7">
        <v>203.17648406790119</v>
      </c>
      <c r="Q76" s="7">
        <v>231.65506990276708</v>
      </c>
      <c r="R76" s="7">
        <v>231.93824545410791</v>
      </c>
      <c r="S76" s="7">
        <v>227.59522847887342</v>
      </c>
      <c r="T76" s="7">
        <v>234.46073251663728</v>
      </c>
      <c r="U76" s="7">
        <v>234.64086486869604</v>
      </c>
      <c r="V76" s="7">
        <v>259.91088180049081</v>
      </c>
      <c r="W76" s="7">
        <v>237.62953235521326</v>
      </c>
      <c r="X76" s="7"/>
    </row>
    <row r="77" spans="1:26" s="6" customFormat="1" x14ac:dyDescent="0.25">
      <c r="A77" s="176"/>
      <c r="B77" s="5" t="s">
        <v>4</v>
      </c>
      <c r="C77" s="7"/>
      <c r="D77" s="7">
        <v>1349.0880225398782</v>
      </c>
      <c r="E77" s="7">
        <v>1349.0062105432869</v>
      </c>
      <c r="F77" s="7">
        <v>1349.1750420548444</v>
      </c>
      <c r="G77" s="7">
        <v>1311.2291650660491</v>
      </c>
      <c r="H77" s="7">
        <v>1596.0318525103639</v>
      </c>
      <c r="I77" s="7">
        <v>1595.3179611285991</v>
      </c>
      <c r="J77" s="7">
        <v>1795.9619526024119</v>
      </c>
      <c r="K77" s="7">
        <v>1907.9521595169929</v>
      </c>
      <c r="L77" s="7">
        <v>2102.1106388790627</v>
      </c>
      <c r="M77" s="7">
        <v>2057.8857492803413</v>
      </c>
      <c r="N77" s="7">
        <v>2230.0653801835242</v>
      </c>
      <c r="O77" s="7">
        <v>2096.5457259814675</v>
      </c>
      <c r="P77" s="7">
        <v>2214.6078048833906</v>
      </c>
      <c r="Q77" s="7">
        <v>2227.0051523955035</v>
      </c>
      <c r="R77" s="7">
        <v>2241.1181636888491</v>
      </c>
      <c r="S77" s="7">
        <v>2294.4813975877069</v>
      </c>
      <c r="T77" s="7">
        <v>2336.1830766750436</v>
      </c>
      <c r="U77" s="7">
        <v>2419.6676478778663</v>
      </c>
      <c r="V77" s="7">
        <v>2379.9388750164417</v>
      </c>
      <c r="W77" s="7">
        <v>2457.1460898414707</v>
      </c>
      <c r="X77" s="7"/>
    </row>
    <row r="78" spans="1:26" s="6" customFormat="1" x14ac:dyDescent="0.25">
      <c r="A78" s="176"/>
      <c r="B78" s="5" t="s">
        <v>73</v>
      </c>
      <c r="C78" s="7"/>
      <c r="D78" s="7">
        <v>8630.4368880211678</v>
      </c>
      <c r="E78" s="7">
        <v>8631.1517948135188</v>
      </c>
      <c r="F78" s="7">
        <v>8592.5368696403184</v>
      </c>
      <c r="G78" s="7">
        <v>10012.435025011859</v>
      </c>
      <c r="H78" s="7">
        <v>10339.42359386389</v>
      </c>
      <c r="I78" s="7">
        <v>11421.355707205452</v>
      </c>
      <c r="J78" s="7">
        <v>12237.617215274244</v>
      </c>
      <c r="K78" s="7">
        <v>13287.200706934942</v>
      </c>
      <c r="L78" s="7">
        <v>13293.994361793008</v>
      </c>
      <c r="M78" s="7">
        <v>14065.223998036647</v>
      </c>
      <c r="N78" s="7">
        <v>13586.500888288572</v>
      </c>
      <c r="O78" s="7">
        <v>14088.06731454132</v>
      </c>
      <c r="P78" s="7">
        <v>14251.294569883499</v>
      </c>
      <c r="Q78" s="7">
        <v>14363.494147428188</v>
      </c>
      <c r="R78" s="7">
        <v>14670.349999582357</v>
      </c>
      <c r="S78" s="7">
        <v>14962.757787284208</v>
      </c>
      <c r="T78" s="7">
        <v>15399.85047170876</v>
      </c>
      <c r="U78" s="7">
        <v>15310.709382318968</v>
      </c>
      <c r="V78" s="7">
        <v>15723.068807996311</v>
      </c>
      <c r="W78" s="7">
        <v>16297.829174997634</v>
      </c>
      <c r="X78" s="7"/>
    </row>
    <row r="79" spans="1:26" s="6" customFormat="1" x14ac:dyDescent="0.25">
      <c r="A79" s="176"/>
      <c r="B79" s="5" t="s">
        <v>2</v>
      </c>
      <c r="C79" s="7"/>
      <c r="D79" s="7">
        <v>14486.167604662583</v>
      </c>
      <c r="E79" s="7">
        <v>15843.781934329161</v>
      </c>
      <c r="F79" s="7">
        <v>17159.622315159064</v>
      </c>
      <c r="G79" s="7">
        <v>18452.528076474933</v>
      </c>
      <c r="H79" s="7">
        <v>20009.653915179511</v>
      </c>
      <c r="I79" s="7">
        <v>21584.690017768917</v>
      </c>
      <c r="J79" s="7">
        <v>22328.413107915549</v>
      </c>
      <c r="K79" s="7">
        <v>23067.819926552587</v>
      </c>
      <c r="L79" s="7">
        <v>23144.612637720937</v>
      </c>
      <c r="M79" s="7">
        <v>23307.250064484113</v>
      </c>
      <c r="N79" s="7">
        <v>23811.320076490509</v>
      </c>
      <c r="O79" s="7">
        <v>24039.671281080176</v>
      </c>
      <c r="P79" s="7">
        <v>24421.330896758587</v>
      </c>
      <c r="Q79" s="7">
        <v>24925.462391243749</v>
      </c>
      <c r="R79" s="7">
        <v>25546.594621929307</v>
      </c>
      <c r="S79" s="7">
        <v>25770.137518738076</v>
      </c>
      <c r="T79" s="7">
        <v>26123.210877114296</v>
      </c>
      <c r="U79" s="7">
        <v>26959.246594643555</v>
      </c>
      <c r="V79" s="7">
        <v>27261.712399037173</v>
      </c>
      <c r="W79" s="7">
        <v>27791.267370840582</v>
      </c>
      <c r="X79" s="7"/>
    </row>
    <row r="80" spans="1:26" s="6" customFormat="1" x14ac:dyDescent="0.25">
      <c r="A80" s="176"/>
      <c r="B80" s="5" t="s">
        <v>6</v>
      </c>
      <c r="C80" s="7"/>
      <c r="D80" s="7">
        <v>12415.962992365236</v>
      </c>
      <c r="E80" s="7">
        <v>12416.273689323232</v>
      </c>
      <c r="F80" s="7">
        <v>12416.216452404342</v>
      </c>
      <c r="G80" s="7">
        <v>13579.839146552969</v>
      </c>
      <c r="H80" s="7">
        <v>14707.657036768442</v>
      </c>
      <c r="I80" s="7">
        <v>15815.817471132847</v>
      </c>
      <c r="J80" s="7">
        <v>17150.443162662526</v>
      </c>
      <c r="K80" s="7">
        <v>18500.419892450402</v>
      </c>
      <c r="L80" s="7">
        <v>19137.87122671078</v>
      </c>
      <c r="M80" s="7">
        <v>19771.623048250254</v>
      </c>
      <c r="N80" s="7">
        <v>19837.442728779584</v>
      </c>
      <c r="O80" s="7">
        <v>19976.840639190599</v>
      </c>
      <c r="P80" s="7">
        <v>20408.88329857713</v>
      </c>
      <c r="Q80" s="7">
        <v>20604.605042293537</v>
      </c>
      <c r="R80" s="7">
        <v>20931.72871839123</v>
      </c>
      <c r="S80" s="7">
        <v>21363.824074928947</v>
      </c>
      <c r="T80" s="7">
        <v>21896.201749426815</v>
      </c>
      <c r="U80" s="7">
        <v>22087.802251983605</v>
      </c>
      <c r="V80" s="7">
        <v>22390.424405807469</v>
      </c>
      <c r="W80" s="7">
        <v>23106.997671703091</v>
      </c>
      <c r="X80" s="7"/>
    </row>
    <row r="81" spans="1:26" s="6" customFormat="1" x14ac:dyDescent="0.25">
      <c r="A81" s="176"/>
      <c r="B81" s="5" t="s">
        <v>5</v>
      </c>
      <c r="C81" s="7"/>
      <c r="D81" s="7">
        <v>8386.7672748024615</v>
      </c>
      <c r="E81" s="7">
        <v>8386.728613225705</v>
      </c>
      <c r="F81" s="7">
        <v>9172.7158567168808</v>
      </c>
      <c r="G81" s="7">
        <v>9934.5181824605097</v>
      </c>
      <c r="H81" s="7">
        <v>10683.042570590751</v>
      </c>
      <c r="I81" s="7">
        <v>11584.536477209189</v>
      </c>
      <c r="J81" s="7">
        <v>12496.39948397148</v>
      </c>
      <c r="K81" s="7">
        <v>12926.976009845845</v>
      </c>
      <c r="L81" s="7">
        <v>13355.053641688339</v>
      </c>
      <c r="M81" s="7">
        <v>13399.512579733171</v>
      </c>
      <c r="N81" s="7">
        <v>13493.671089964486</v>
      </c>
      <c r="O81" s="7">
        <v>13785.501096915556</v>
      </c>
      <c r="P81" s="7">
        <v>13917.704425888523</v>
      </c>
      <c r="Q81" s="7">
        <v>14138.665256018128</v>
      </c>
      <c r="R81" s="7">
        <v>14430.530858088483</v>
      </c>
      <c r="S81" s="7">
        <v>14790.133728485387</v>
      </c>
      <c r="T81" s="7">
        <v>14919.553300322046</v>
      </c>
      <c r="U81" s="7">
        <v>15123.96419201354</v>
      </c>
      <c r="V81" s="7">
        <v>15607.98487058311</v>
      </c>
      <c r="W81" s="7">
        <v>15783.096652074153</v>
      </c>
      <c r="X81" s="7"/>
    </row>
    <row r="82" spans="1:26" s="6" customFormat="1" ht="15.75" thickBot="1" x14ac:dyDescent="0.3">
      <c r="A82" s="177"/>
      <c r="B82" s="5" t="s">
        <v>1</v>
      </c>
      <c r="C82" s="7"/>
      <c r="D82" s="7">
        <v>15248.597478592194</v>
      </c>
      <c r="E82" s="7">
        <v>16677.665194030695</v>
      </c>
      <c r="F82" s="7">
        <v>18062.760331746384</v>
      </c>
      <c r="G82" s="7">
        <v>19423.713764710457</v>
      </c>
      <c r="H82" s="7">
        <v>21062.793594925799</v>
      </c>
      <c r="I82" s="7">
        <v>22720.726334493596</v>
      </c>
      <c r="J82" s="7">
        <v>23503.592745174261</v>
      </c>
      <c r="K82" s="7">
        <v>24281.915712160619</v>
      </c>
      <c r="L82" s="7">
        <v>24362.750144969406</v>
      </c>
      <c r="M82" s="7">
        <v>24533.947436299066</v>
      </c>
      <c r="N82" s="7">
        <v>25064.547448937377</v>
      </c>
      <c r="O82" s="7">
        <v>25304.917137979133</v>
      </c>
      <c r="P82" s="7">
        <v>25706.664101851144</v>
      </c>
      <c r="Q82" s="7">
        <v>26237.328832888157</v>
      </c>
      <c r="R82" s="7">
        <v>26891.152233609799</v>
      </c>
      <c r="S82" s="7">
        <v>27126.460546040082</v>
      </c>
      <c r="T82" s="7">
        <v>27498.116712751893</v>
      </c>
      <c r="U82" s="7">
        <v>28378.154310151109</v>
      </c>
      <c r="V82" s="7">
        <v>28696.539367407549</v>
      </c>
      <c r="W82" s="7">
        <v>29253.965653516399</v>
      </c>
      <c r="X82" s="7"/>
    </row>
    <row r="83" spans="1:26" s="6" customFormat="1" ht="15.75" thickBot="1" x14ac:dyDescent="0.3">
      <c r="A83" s="10"/>
      <c r="B83" s="72" t="s">
        <v>21</v>
      </c>
      <c r="C83" s="73"/>
      <c r="D83" s="73">
        <v>60696.759675054804</v>
      </c>
      <c r="E83" s="73">
        <v>63507.375205115066</v>
      </c>
      <c r="F83" s="73">
        <v>66964.399851075315</v>
      </c>
      <c r="G83" s="73">
        <v>72887.224127827532</v>
      </c>
      <c r="H83" s="73">
        <v>78559.684987627421</v>
      </c>
      <c r="I83" s="73">
        <v>91148.162138024272</v>
      </c>
      <c r="J83" s="73">
        <v>96844.914920041119</v>
      </c>
      <c r="K83" s="73">
        <v>106493.69960475841</v>
      </c>
      <c r="L83" s="73">
        <v>107379.02562767046</v>
      </c>
      <c r="M83" s="73">
        <v>107947.36196379998</v>
      </c>
      <c r="N83" s="73">
        <v>109806.59925819703</v>
      </c>
      <c r="O83" s="73">
        <v>110817.0391145957</v>
      </c>
      <c r="P83" s="73">
        <v>111769.30398766974</v>
      </c>
      <c r="Q83" s="73">
        <v>112719.36868064778</v>
      </c>
      <c r="R83" s="73">
        <v>117662.75018829355</v>
      </c>
      <c r="S83" s="73">
        <v>118805.82938941162</v>
      </c>
      <c r="T83" s="73">
        <v>118169.9680762091</v>
      </c>
      <c r="U83" s="73">
        <v>123294.04228643062</v>
      </c>
      <c r="V83" s="73">
        <v>124225.93698932463</v>
      </c>
      <c r="W83" s="73">
        <v>128974.50852907319</v>
      </c>
      <c r="X83" s="7"/>
    </row>
    <row r="87" spans="1:26" ht="15.75" thickBot="1" x14ac:dyDescent="0.3"/>
    <row r="88" spans="1:26" ht="21.75" thickBot="1" x14ac:dyDescent="0.4">
      <c r="A88" s="192" t="s">
        <v>137</v>
      </c>
      <c r="B88" s="193"/>
      <c r="C88" s="193"/>
      <c r="D88" s="193"/>
      <c r="E88" s="193"/>
      <c r="F88" s="193"/>
      <c r="G88" s="193"/>
      <c r="H88" s="193"/>
      <c r="I88" s="194"/>
    </row>
    <row r="89" spans="1:26" ht="15.75" thickBot="1" x14ac:dyDescent="0.3">
      <c r="C89" s="74"/>
      <c r="D89" s="7"/>
      <c r="E89" s="7"/>
    </row>
    <row r="90" spans="1:26" ht="15.75" thickBot="1" x14ac:dyDescent="0.3">
      <c r="B90" s="17"/>
      <c r="C90" s="18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</row>
    <row r="91" spans="1:26" s="12" customFormat="1" ht="25.5" customHeight="1" thickBot="1" x14ac:dyDescent="0.3">
      <c r="A91" s="9"/>
      <c r="B91" s="8"/>
      <c r="C91" s="45">
        <v>0</v>
      </c>
      <c r="D91" s="25">
        <v>1</v>
      </c>
      <c r="E91" s="25">
        <v>2</v>
      </c>
      <c r="F91" s="25">
        <v>3</v>
      </c>
      <c r="G91" s="25">
        <v>4</v>
      </c>
      <c r="H91" s="25">
        <v>5</v>
      </c>
      <c r="I91" s="25">
        <v>6</v>
      </c>
      <c r="J91" s="25">
        <v>7</v>
      </c>
      <c r="K91" s="25">
        <v>8</v>
      </c>
      <c r="L91" s="25">
        <v>9</v>
      </c>
      <c r="M91" s="25">
        <v>10</v>
      </c>
      <c r="N91" s="25">
        <v>11</v>
      </c>
      <c r="O91" s="25">
        <v>12</v>
      </c>
      <c r="P91" s="25">
        <v>13</v>
      </c>
      <c r="Q91" s="25">
        <v>14</v>
      </c>
      <c r="R91" s="25">
        <v>15</v>
      </c>
      <c r="S91" s="25">
        <v>16</v>
      </c>
      <c r="T91" s="25">
        <v>17</v>
      </c>
      <c r="U91" s="25">
        <v>18</v>
      </c>
      <c r="V91" s="25">
        <v>19</v>
      </c>
      <c r="W91" s="25">
        <v>20</v>
      </c>
      <c r="X91"/>
      <c r="Y91" s="8"/>
      <c r="Z91" s="8"/>
    </row>
    <row r="92" spans="1:26" s="6" customFormat="1" ht="15.75" thickTop="1" x14ac:dyDescent="0.25">
      <c r="A92" s="175" t="s">
        <v>9</v>
      </c>
      <c r="B92" s="5" t="s">
        <v>0</v>
      </c>
      <c r="C92" s="46">
        <v>76451.677355428925</v>
      </c>
      <c r="D92" s="3">
        <v>84676.679708957876</v>
      </c>
      <c r="E92" s="3">
        <v>92297.370100065207</v>
      </c>
      <c r="F92" s="3">
        <v>103394.511339886</v>
      </c>
      <c r="G92" s="3">
        <v>110187.20723319473</v>
      </c>
      <c r="H92" s="3">
        <v>114074.15848610191</v>
      </c>
      <c r="I92" s="3">
        <v>115950.76474557362</v>
      </c>
      <c r="J92" s="3">
        <v>122630.12987866932</v>
      </c>
      <c r="K92" s="3">
        <v>122360.2176472033</v>
      </c>
      <c r="L92" s="3">
        <v>123815.00457165288</v>
      </c>
      <c r="M92" s="3">
        <v>124752.63759824549</v>
      </c>
      <c r="N92" s="3">
        <v>126627.90365143062</v>
      </c>
      <c r="O92" s="3">
        <v>128343.04262227548</v>
      </c>
      <c r="P92" s="3">
        <v>132428.69698945325</v>
      </c>
      <c r="Q92" s="3">
        <v>136054.23889010149</v>
      </c>
      <c r="R92" s="3">
        <v>135640.5055109337</v>
      </c>
      <c r="S92" s="3">
        <v>137355.22984590169</v>
      </c>
      <c r="T92" s="3">
        <v>144618.60527942108</v>
      </c>
      <c r="U92" s="3">
        <v>145083.53454907265</v>
      </c>
      <c r="V92" s="3">
        <v>146308.90329082671</v>
      </c>
      <c r="W92" s="3">
        <v>147245.74009817676</v>
      </c>
      <c r="X92"/>
      <c r="Y92" s="3"/>
      <c r="Z92" s="3"/>
    </row>
    <row r="93" spans="1:26" s="6" customFormat="1" x14ac:dyDescent="0.25">
      <c r="A93" s="176"/>
      <c r="B93" s="2" t="s">
        <v>12</v>
      </c>
      <c r="C93" s="44">
        <v>2111.6919277867255</v>
      </c>
      <c r="D93" s="3">
        <v>2111.4499184874658</v>
      </c>
      <c r="E93" s="3">
        <v>2111.3655078419706</v>
      </c>
      <c r="F93" s="3">
        <v>2892.0285254159189</v>
      </c>
      <c r="G93" s="3">
        <v>3855.9757922996323</v>
      </c>
      <c r="H93" s="3">
        <v>3818.254109545469</v>
      </c>
      <c r="I93" s="3">
        <v>3076.0171504498958</v>
      </c>
      <c r="J93" s="3">
        <v>2787.3175090407276</v>
      </c>
      <c r="K93" s="3">
        <v>3467.2948039607509</v>
      </c>
      <c r="L93" s="3">
        <v>2923.4875084200248</v>
      </c>
      <c r="M93" s="3">
        <v>3323.9027426371249</v>
      </c>
      <c r="N93" s="3">
        <v>3478.0214013429704</v>
      </c>
      <c r="O93" s="3">
        <v>3203.8396020071941</v>
      </c>
      <c r="P93" s="3">
        <v>3559.1315935580387</v>
      </c>
      <c r="Q93" s="3">
        <v>3371.7022184158614</v>
      </c>
      <c r="R93" s="3">
        <v>3536.1571251281075</v>
      </c>
      <c r="S93" s="3">
        <v>3556.9653489404664</v>
      </c>
      <c r="T93" s="3">
        <v>3690.6543205240487</v>
      </c>
      <c r="U93" s="3">
        <v>3770.4783367934942</v>
      </c>
      <c r="V93" s="3">
        <v>3680.0263187456294</v>
      </c>
      <c r="W93" s="3">
        <v>3861.9173111443379</v>
      </c>
      <c r="X93"/>
      <c r="Y93" s="3"/>
      <c r="Z93" s="3"/>
    </row>
    <row r="94" spans="1:26" s="6" customFormat="1" x14ac:dyDescent="0.25">
      <c r="A94" s="176"/>
      <c r="B94" s="5" t="s">
        <v>4</v>
      </c>
      <c r="C94" s="44">
        <v>10386.971373204462</v>
      </c>
      <c r="D94" s="3">
        <v>10386.556127287104</v>
      </c>
      <c r="E94" s="3">
        <v>14226.914520191207</v>
      </c>
      <c r="F94" s="3">
        <v>18968.913171796568</v>
      </c>
      <c r="G94" s="3">
        <v>18783.346829215607</v>
      </c>
      <c r="H94" s="3">
        <v>15132.019853019641</v>
      </c>
      <c r="I94" s="3">
        <v>13711.803875119698</v>
      </c>
      <c r="J94" s="3">
        <v>17056.853471097227</v>
      </c>
      <c r="K94" s="3">
        <v>14381.672420453333</v>
      </c>
      <c r="L94" s="3">
        <v>16351.457040392301</v>
      </c>
      <c r="M94" s="3">
        <v>17109.62140983234</v>
      </c>
      <c r="N94" s="3">
        <v>15760.82384858377</v>
      </c>
      <c r="O94" s="3">
        <v>17508.631226374207</v>
      </c>
      <c r="P94" s="3">
        <v>16586.599622852209</v>
      </c>
      <c r="Q94" s="3">
        <v>17395.611663936641</v>
      </c>
      <c r="R94" s="3">
        <v>17497.974700432937</v>
      </c>
      <c r="S94" s="3">
        <v>18155.638189674741</v>
      </c>
      <c r="T94" s="3">
        <v>18548.320850355078</v>
      </c>
      <c r="U94" s="3">
        <v>18103.355277700266</v>
      </c>
      <c r="V94" s="3">
        <v>18998.141611274554</v>
      </c>
      <c r="W94" s="3">
        <v>20062.427103212478</v>
      </c>
      <c r="X94"/>
      <c r="Y94" s="3"/>
      <c r="Z94" s="3"/>
    </row>
    <row r="95" spans="1:26" s="6" customFormat="1" x14ac:dyDescent="0.25">
      <c r="A95" s="176"/>
      <c r="B95" s="5" t="s">
        <v>73</v>
      </c>
      <c r="C95" s="44">
        <v>12556.862989329104</v>
      </c>
      <c r="D95" s="3">
        <v>16585.391047780216</v>
      </c>
      <c r="E95" s="3">
        <v>22174.015437159804</v>
      </c>
      <c r="F95" s="3">
        <v>22737.750044258297</v>
      </c>
      <c r="G95" s="3">
        <v>18877.774446176332</v>
      </c>
      <c r="H95" s="3">
        <v>16803.982835967712</v>
      </c>
      <c r="I95" s="3">
        <v>20085.853088434891</v>
      </c>
      <c r="J95" s="3">
        <v>17814.527312080874</v>
      </c>
      <c r="K95" s="3">
        <v>19453.014787660766</v>
      </c>
      <c r="L95" s="3">
        <v>20563.372024662542</v>
      </c>
      <c r="M95" s="3">
        <v>19269.717447316878</v>
      </c>
      <c r="N95" s="3">
        <v>20887.478353968792</v>
      </c>
      <c r="O95" s="3">
        <v>20199.783187454552</v>
      </c>
      <c r="P95" s="3">
        <v>20900.986942643558</v>
      </c>
      <c r="Q95" s="3">
        <v>21137.754104827061</v>
      </c>
      <c r="R95" s="3">
        <v>21844.024233699707</v>
      </c>
      <c r="S95" s="3">
        <v>22361.135654190151</v>
      </c>
      <c r="T95" s="3">
        <v>21957.162445564383</v>
      </c>
      <c r="U95" s="3">
        <v>22824.642784436575</v>
      </c>
      <c r="V95" s="3">
        <v>24084.199298807514</v>
      </c>
      <c r="W95" s="3">
        <v>23218.891555082751</v>
      </c>
      <c r="X95" s="3"/>
      <c r="Y95" s="3"/>
      <c r="Z95" s="3"/>
    </row>
    <row r="96" spans="1:26" s="6" customFormat="1" x14ac:dyDescent="0.25">
      <c r="A96" s="176"/>
      <c r="B96" s="5" t="s">
        <v>2</v>
      </c>
      <c r="C96" s="44">
        <v>21729.351575624558</v>
      </c>
      <c r="D96" s="3">
        <v>28972.335209325167</v>
      </c>
      <c r="E96" s="3">
        <v>31722.064817412367</v>
      </c>
      <c r="F96" s="3">
        <v>35461.173627607568</v>
      </c>
      <c r="G96" s="3">
        <v>30579.257147540797</v>
      </c>
      <c r="H96" s="3">
        <v>32379.984641159372</v>
      </c>
      <c r="I96" s="3">
        <v>32470.940948248681</v>
      </c>
      <c r="J96" s="3">
        <v>32474.950571927213</v>
      </c>
      <c r="K96" s="3">
        <v>34778.745481857484</v>
      </c>
      <c r="L96" s="3">
        <v>34281.033473939933</v>
      </c>
      <c r="M96" s="3">
        <v>34972.150408285779</v>
      </c>
      <c r="N96" s="3">
        <v>35451.621139522875</v>
      </c>
      <c r="O96" s="3">
        <v>35659.234654640677</v>
      </c>
      <c r="P96" s="3">
        <v>36405.249511636874</v>
      </c>
      <c r="Q96" s="3">
        <v>37287.39456253768</v>
      </c>
      <c r="R96" s="3">
        <v>38319.178479400573</v>
      </c>
      <c r="S96" s="3">
        <v>38287.132087958511</v>
      </c>
      <c r="T96" s="3">
        <v>38867.516097029853</v>
      </c>
      <c r="U96" s="3">
        <v>40763.133367772061</v>
      </c>
      <c r="V96" s="3">
        <v>40804.491434667914</v>
      </c>
      <c r="W96" s="3">
        <v>41301.662068207654</v>
      </c>
      <c r="X96" s="3"/>
      <c r="Y96" s="3"/>
      <c r="Z96" s="3"/>
    </row>
    <row r="97" spans="1:26" s="6" customFormat="1" x14ac:dyDescent="0.25">
      <c r="A97" s="176"/>
      <c r="B97" s="5" t="s">
        <v>6</v>
      </c>
      <c r="C97" s="44">
        <v>-8.0291329140891321E-13</v>
      </c>
      <c r="D97" s="3">
        <v>6.9633188104489818E-13</v>
      </c>
      <c r="E97" s="3">
        <v>-2.9842794901924208E-13</v>
      </c>
      <c r="F97" s="3">
        <v>6.4659388954169117E-13</v>
      </c>
      <c r="G97" s="3">
        <v>-4.8316906031686813E-13</v>
      </c>
      <c r="H97" s="3">
        <v>-6.6791017161449417E-13</v>
      </c>
      <c r="I97" s="3">
        <v>7.673861546209082E-13</v>
      </c>
      <c r="J97" s="3">
        <v>-1.3926637620897964E-12</v>
      </c>
      <c r="K97" s="3">
        <v>-9.6633812063373625E-13</v>
      </c>
      <c r="L97" s="3">
        <v>1.3073986337985843E-12</v>
      </c>
      <c r="M97" s="3">
        <v>3.694822225952521E-13</v>
      </c>
      <c r="N97" s="3">
        <v>-1.2789769243681803E-12</v>
      </c>
      <c r="O97" s="3">
        <v>-3.2684965844964609E-13</v>
      </c>
      <c r="P97" s="3">
        <v>7.3896444519050419E-13</v>
      </c>
      <c r="Q97" s="3">
        <v>1.0089706847793423E-12</v>
      </c>
      <c r="R97" s="3">
        <v>5.1159076974727213E-13</v>
      </c>
      <c r="S97" s="3">
        <v>-5.4001247917767614E-13</v>
      </c>
      <c r="T97" s="3">
        <v>1.6058265828178264E-12</v>
      </c>
      <c r="U97" s="3">
        <v>-1.7053025658242404E-12</v>
      </c>
      <c r="V97" s="3">
        <v>-1.5489831639570184E-12</v>
      </c>
      <c r="W97" s="3">
        <v>-6.8212102632969618E-13</v>
      </c>
      <c r="X97" s="3"/>
      <c r="Y97" s="3"/>
      <c r="Z97" s="3"/>
    </row>
    <row r="98" spans="1:26" s="6" customFormat="1" x14ac:dyDescent="0.25">
      <c r="A98" s="176"/>
      <c r="B98" s="5" t="s">
        <v>5</v>
      </c>
      <c r="C98" s="44">
        <v>12477.100786217703</v>
      </c>
      <c r="D98" s="3">
        <v>12477.41301308736</v>
      </c>
      <c r="E98" s="3">
        <v>12477.355494326543</v>
      </c>
      <c r="F98" s="3">
        <v>13661.566348767306</v>
      </c>
      <c r="G98" s="3">
        <v>15271.867676558019</v>
      </c>
      <c r="H98" s="3">
        <v>17559.199580133052</v>
      </c>
      <c r="I98" s="3">
        <v>18593.212057850298</v>
      </c>
      <c r="J98" s="3">
        <v>18645.440924678129</v>
      </c>
      <c r="K98" s="3">
        <v>18647.743327973047</v>
      </c>
      <c r="L98" s="3">
        <v>19970.626824455023</v>
      </c>
      <c r="M98" s="3">
        <v>19684.830984540193</v>
      </c>
      <c r="N98" s="3">
        <v>20081.68366558593</v>
      </c>
      <c r="O98" s="3">
        <v>20357.005012406204</v>
      </c>
      <c r="P98" s="3">
        <v>20476.22069936345</v>
      </c>
      <c r="Q98" s="3">
        <v>20904.59682702861</v>
      </c>
      <c r="R98" s="3">
        <v>21411.141539107713</v>
      </c>
      <c r="S98" s="3">
        <v>22003.611775789836</v>
      </c>
      <c r="T98" s="3">
        <v>21985.210119384661</v>
      </c>
      <c r="U98" s="3">
        <v>22318.477817786592</v>
      </c>
      <c r="V98" s="3">
        <v>23406.977836734444</v>
      </c>
      <c r="W98" s="3">
        <v>23430.726436884175</v>
      </c>
      <c r="X98" s="3"/>
      <c r="Y98" s="3"/>
      <c r="Z98" s="3"/>
    </row>
    <row r="99" spans="1:26" s="6" customFormat="1" ht="15.75" thickBot="1" x14ac:dyDescent="0.3">
      <c r="A99" s="177"/>
      <c r="B99" s="5" t="s">
        <v>1</v>
      </c>
      <c r="C99" s="47">
        <v>20966.918187006151</v>
      </c>
      <c r="D99" s="3">
        <v>20966.821533064263</v>
      </c>
      <c r="E99" s="3">
        <v>22956.757433653685</v>
      </c>
      <c r="F99" s="3">
        <v>25662.691441031791</v>
      </c>
      <c r="G99" s="3">
        <v>29506.300756399014</v>
      </c>
      <c r="H99" s="3">
        <v>31243.844829188874</v>
      </c>
      <c r="I99" s="3">
        <v>31331.609686906624</v>
      </c>
      <c r="J99" s="3">
        <v>31335.478622035036</v>
      </c>
      <c r="K99" s="3">
        <v>33558.438622844944</v>
      </c>
      <c r="L99" s="3">
        <v>33078.190194152572</v>
      </c>
      <c r="M99" s="3">
        <v>33745.057411503825</v>
      </c>
      <c r="N99" s="3">
        <v>34207.704608311549</v>
      </c>
      <c r="O99" s="3">
        <v>34408.033438688377</v>
      </c>
      <c r="P99" s="3">
        <v>35127.872335789965</v>
      </c>
      <c r="Q99" s="3">
        <v>35979.064928764434</v>
      </c>
      <c r="R99" s="3">
        <v>36974.645901175994</v>
      </c>
      <c r="S99" s="3">
        <v>36943.723944521364</v>
      </c>
      <c r="T99" s="3">
        <v>37503.743602397233</v>
      </c>
      <c r="U99" s="3">
        <v>39332.847986446723</v>
      </c>
      <c r="V99" s="3">
        <v>39372.754893100617</v>
      </c>
      <c r="W99" s="3">
        <v>39852.480943007387</v>
      </c>
      <c r="X99" s="3"/>
      <c r="Y99" s="3"/>
      <c r="Z99" s="3"/>
    </row>
    <row r="100" spans="1:26" s="6" customFormat="1" ht="15.75" thickBot="1" x14ac:dyDescent="0.3">
      <c r="A100" s="5"/>
      <c r="B100" s="72" t="s">
        <v>21</v>
      </c>
      <c r="C100" s="73">
        <v>156680.57419459763</v>
      </c>
      <c r="D100" s="73">
        <v>176176.64655798944</v>
      </c>
      <c r="E100" s="73">
        <v>197965.84331065079</v>
      </c>
      <c r="F100" s="73">
        <v>222778.63449876345</v>
      </c>
      <c r="G100" s="73">
        <v>227061.72988138418</v>
      </c>
      <c r="H100" s="73">
        <v>231011.44433511599</v>
      </c>
      <c r="I100" s="73">
        <v>235220.20155258369</v>
      </c>
      <c r="J100" s="73">
        <v>242744.69828952852</v>
      </c>
      <c r="K100" s="73">
        <v>246647.12709195359</v>
      </c>
      <c r="L100" s="73">
        <v>250983.17163767526</v>
      </c>
      <c r="M100" s="73">
        <v>252857.91800236164</v>
      </c>
      <c r="N100" s="73">
        <v>256495.23666874651</v>
      </c>
      <c r="O100" s="73">
        <v>259679.56974384666</v>
      </c>
      <c r="P100" s="73">
        <v>265484.75769529736</v>
      </c>
      <c r="Q100" s="73">
        <v>272130.36319561175</v>
      </c>
      <c r="R100" s="73">
        <v>275223.62748987874</v>
      </c>
      <c r="S100" s="73">
        <v>278663.43684697675</v>
      </c>
      <c r="T100" s="73">
        <v>287171.21271467634</v>
      </c>
      <c r="U100" s="73">
        <v>292196.47012000834</v>
      </c>
      <c r="V100" s="73">
        <v>296655.49468415743</v>
      </c>
      <c r="W100" s="73">
        <v>298973.84551571554</v>
      </c>
      <c r="X100" s="26"/>
      <c r="Y100" s="3"/>
      <c r="Z100" s="3"/>
    </row>
    <row r="101" spans="1:26" s="6" customFormat="1" x14ac:dyDescent="0.25">
      <c r="A101" s="10"/>
      <c r="B101" s="1"/>
      <c r="C101" s="7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"/>
    </row>
    <row r="102" spans="1:26" s="6" customFormat="1" ht="15.75" thickBot="1" x14ac:dyDescent="0.3">
      <c r="A102" s="10"/>
      <c r="B102" s="1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</row>
    <row r="103" spans="1:26" s="6" customFormat="1" x14ac:dyDescent="0.25">
      <c r="A103" s="175" t="s">
        <v>8</v>
      </c>
      <c r="B103" s="5" t="s">
        <v>0</v>
      </c>
      <c r="C103" s="7"/>
      <c r="D103" s="7">
        <v>121.25038007556577</v>
      </c>
      <c r="E103" s="7">
        <v>657.06829992603161</v>
      </c>
      <c r="F103" s="7">
        <v>252.44234169964329</v>
      </c>
      <c r="G103" s="7">
        <v>8678.2776999167691</v>
      </c>
      <c r="H103" s="7">
        <v>11869.771200343035</v>
      </c>
      <c r="I103" s="7">
        <v>10747.259723227093</v>
      </c>
      <c r="J103" s="7">
        <v>4291.9556855786795</v>
      </c>
      <c r="K103" s="7">
        <v>13392.779787474152</v>
      </c>
      <c r="L103" s="7">
        <v>10161.431761805768</v>
      </c>
      <c r="M103" s="7">
        <v>11811.56109151819</v>
      </c>
      <c r="N103" s="7">
        <v>11723.569616945955</v>
      </c>
      <c r="O103" s="7">
        <v>10946.74139155008</v>
      </c>
      <c r="P103" s="7">
        <v>9670.6070646701846</v>
      </c>
      <c r="Q103" s="7">
        <v>9597.4956803435343</v>
      </c>
      <c r="R103" s="7">
        <v>14037.221643326833</v>
      </c>
      <c r="S103" s="7">
        <v>12163.757064485864</v>
      </c>
      <c r="T103" s="7">
        <v>7128.6944035979395</v>
      </c>
      <c r="U103" s="7">
        <v>14127.825514228112</v>
      </c>
      <c r="V103" s="7">
        <v>13099.598381944059</v>
      </c>
      <c r="W103" s="7">
        <v>14044.33870009362</v>
      </c>
      <c r="X103" s="7"/>
    </row>
    <row r="104" spans="1:26" s="6" customFormat="1" x14ac:dyDescent="0.25">
      <c r="A104" s="176"/>
      <c r="B104" s="2" t="s">
        <v>12</v>
      </c>
      <c r="C104" s="7"/>
      <c r="D104" s="7">
        <v>142.58587908668659</v>
      </c>
      <c r="E104" s="7">
        <v>142.55023694316952</v>
      </c>
      <c r="F104" s="7">
        <v>46.909274937213183</v>
      </c>
      <c r="G104" s="7">
        <v>77.159481851290025</v>
      </c>
      <c r="H104" s="7">
        <v>264.9300644894613</v>
      </c>
      <c r="I104" s="7">
        <v>348.68098647344999</v>
      </c>
      <c r="J104" s="7">
        <v>243.01934209499973</v>
      </c>
      <c r="K104" s="7">
        <v>104.87467528741729</v>
      </c>
      <c r="L104" s="7">
        <v>300.68236948325438</v>
      </c>
      <c r="M104" s="7">
        <v>148.31134629403624</v>
      </c>
      <c r="N104" s="7">
        <v>205.51194799622834</v>
      </c>
      <c r="O104" s="7">
        <v>268.37955242542847</v>
      </c>
      <c r="P104" s="7">
        <v>172.76460684464917</v>
      </c>
      <c r="Q104" s="7">
        <v>263.22867216700718</v>
      </c>
      <c r="R104" s="7">
        <v>207.47269106699127</v>
      </c>
      <c r="S104" s="7">
        <v>236.17028373356021</v>
      </c>
      <c r="T104" s="7">
        <v>223.74802537578722</v>
      </c>
      <c r="U104" s="7">
        <v>239.37113172572776</v>
      </c>
      <c r="V104" s="7">
        <v>265.61733757602696</v>
      </c>
      <c r="W104" s="7">
        <v>226.15127444093292</v>
      </c>
      <c r="X104" s="7"/>
    </row>
    <row r="105" spans="1:26" s="6" customFormat="1" x14ac:dyDescent="0.25">
      <c r="A105" s="176"/>
      <c r="B105" s="5" t="s">
        <v>4</v>
      </c>
      <c r="C105" s="7"/>
      <c r="D105" s="7">
        <v>1349.0880225398782</v>
      </c>
      <c r="E105" s="7">
        <v>1273.7919530641825</v>
      </c>
      <c r="F105" s="7">
        <v>1754.9216557729799</v>
      </c>
      <c r="G105" s="7">
        <v>2467.3543621482004</v>
      </c>
      <c r="H105" s="7">
        <v>2511.1481443767589</v>
      </c>
      <c r="I105" s="7">
        <v>1993.1984833757249</v>
      </c>
      <c r="J105" s="7">
        <v>1715.3848253540241</v>
      </c>
      <c r="K105" s="7">
        <v>2267.7848054174528</v>
      </c>
      <c r="L105" s="7">
        <v>1829.3305801554538</v>
      </c>
      <c r="M105" s="7">
        <v>2108.9060844172709</v>
      </c>
      <c r="N105" s="7">
        <v>2248.6540776785851</v>
      </c>
      <c r="O105" s="7">
        <v>2012.8060432450284</v>
      </c>
      <c r="P105" s="7">
        <v>2292.1177441428154</v>
      </c>
      <c r="Q105" s="7">
        <v>2138.4507326580274</v>
      </c>
      <c r="R105" s="7">
        <v>2257.3702859384352</v>
      </c>
      <c r="S105" s="7">
        <v>2259.7868591410079</v>
      </c>
      <c r="T105" s="7">
        <v>2350.3965320510356</v>
      </c>
      <c r="U105" s="7">
        <v>2417.8087439242063</v>
      </c>
      <c r="V105" s="7">
        <v>2333.7695350598692</v>
      </c>
      <c r="W105" s="7">
        <v>2446.6655614530227</v>
      </c>
      <c r="X105" s="7"/>
    </row>
    <row r="106" spans="1:26" s="6" customFormat="1" x14ac:dyDescent="0.25">
      <c r="A106" s="176"/>
      <c r="B106" s="5" t="s">
        <v>73</v>
      </c>
      <c r="C106" s="7"/>
      <c r="D106" s="7">
        <v>4602.8996736112895</v>
      </c>
      <c r="E106" s="7">
        <v>6076.9086254531685</v>
      </c>
      <c r="F106" s="7">
        <v>8194.4353592005045</v>
      </c>
      <c r="G106" s="7">
        <v>15700.415958103807</v>
      </c>
      <c r="H106" s="7">
        <v>13013.85080859932</v>
      </c>
      <c r="I106" s="7">
        <v>11487.869935159613</v>
      </c>
      <c r="J106" s="7">
        <v>13847.887206556414</v>
      </c>
      <c r="K106" s="7">
        <v>12213.309515025459</v>
      </c>
      <c r="L106" s="7">
        <v>13349.382694696691</v>
      </c>
      <c r="M106" s="7">
        <v>14157.718293121952</v>
      </c>
      <c r="N106" s="7">
        <v>13213.86550915067</v>
      </c>
      <c r="O106" s="7">
        <v>14369.092585694205</v>
      </c>
      <c r="P106" s="7">
        <v>13870.332769096569</v>
      </c>
      <c r="Q106" s="7">
        <v>14361.004693970053</v>
      </c>
      <c r="R106" s="7">
        <v>14514.914204230783</v>
      </c>
      <c r="S106" s="7">
        <v>15003.895281073346</v>
      </c>
      <c r="T106" s="7">
        <v>15376.620053403962</v>
      </c>
      <c r="U106" s="7">
        <v>15075.072161777236</v>
      </c>
      <c r="V106" s="7">
        <v>15663.932048107026</v>
      </c>
      <c r="W106" s="7">
        <v>16569.568042861931</v>
      </c>
      <c r="X106" s="7"/>
    </row>
    <row r="107" spans="1:26" s="6" customFormat="1" x14ac:dyDescent="0.25">
      <c r="A107" s="176"/>
      <c r="B107" s="5" t="s">
        <v>2</v>
      </c>
      <c r="C107" s="7"/>
      <c r="D107" s="7">
        <v>7243.0838023312917</v>
      </c>
      <c r="E107" s="7">
        <v>7930.5162043530909</v>
      </c>
      <c r="F107" s="7">
        <v>8865.2934069018938</v>
      </c>
      <c r="G107" s="7">
        <v>20386.171431693867</v>
      </c>
      <c r="H107" s="7">
        <v>21586.65642743959</v>
      </c>
      <c r="I107" s="7">
        <v>21647.293965499121</v>
      </c>
      <c r="J107" s="7">
        <v>21649.967047951479</v>
      </c>
      <c r="K107" s="7">
        <v>23185.830321238329</v>
      </c>
      <c r="L107" s="7">
        <v>22854.022315959959</v>
      </c>
      <c r="M107" s="7">
        <v>23314.766938857189</v>
      </c>
      <c r="N107" s="7">
        <v>23634.414093015253</v>
      </c>
      <c r="O107" s="7">
        <v>23772.82310309379</v>
      </c>
      <c r="P107" s="7">
        <v>24270.166341091255</v>
      </c>
      <c r="Q107" s="7">
        <v>24858.263041691793</v>
      </c>
      <c r="R107" s="7">
        <v>25546.118986267054</v>
      </c>
      <c r="S107" s="7">
        <v>25524.754725305673</v>
      </c>
      <c r="T107" s="7">
        <v>25911.677398019907</v>
      </c>
      <c r="U107" s="7">
        <v>27175.422245181377</v>
      </c>
      <c r="V107" s="7">
        <v>27202.99428977861</v>
      </c>
      <c r="W107" s="7">
        <v>27534.441378805106</v>
      </c>
      <c r="X107" s="7"/>
    </row>
    <row r="108" spans="1:26" s="6" customFormat="1" x14ac:dyDescent="0.25">
      <c r="A108" s="176"/>
      <c r="B108" s="5" t="s">
        <v>6</v>
      </c>
      <c r="C108" s="7"/>
      <c r="D108" s="7">
        <v>12415.962992365236</v>
      </c>
      <c r="E108" s="7">
        <v>12416.273689323232</v>
      </c>
      <c r="F108" s="7">
        <v>12416.216452404342</v>
      </c>
      <c r="G108" s="7">
        <v>13594.624673658347</v>
      </c>
      <c r="H108" s="7">
        <v>15197.035524942885</v>
      </c>
      <c r="I108" s="7">
        <v>17473.1595021904</v>
      </c>
      <c r="J108" s="7">
        <v>18502.105318766833</v>
      </c>
      <c r="K108" s="7">
        <v>18554.078264147207</v>
      </c>
      <c r="L108" s="7">
        <v>18556.369385665977</v>
      </c>
      <c r="M108" s="7">
        <v>19872.770753015193</v>
      </c>
      <c r="N108" s="7">
        <v>19588.375312715947</v>
      </c>
      <c r="O108" s="7">
        <v>19983.283415624559</v>
      </c>
      <c r="P108" s="7">
        <v>20257.255687845412</v>
      </c>
      <c r="Q108" s="7">
        <v>20375.887217936568</v>
      </c>
      <c r="R108" s="7">
        <v>20802.16430257617</v>
      </c>
      <c r="S108" s="7">
        <v>21306.226945566086</v>
      </c>
      <c r="T108" s="7">
        <v>21895.794078088464</v>
      </c>
      <c r="U108" s="7">
        <v>21877.482589799678</v>
      </c>
      <c r="V108" s="7">
        <v>22209.117276479439</v>
      </c>
      <c r="W108" s="7">
        <v>23292.283645334446</v>
      </c>
      <c r="X108" s="7"/>
    </row>
    <row r="109" spans="1:26" s="6" customFormat="1" x14ac:dyDescent="0.25">
      <c r="A109" s="176"/>
      <c r="B109" s="5" t="s">
        <v>5</v>
      </c>
      <c r="C109" s="7"/>
      <c r="D109" s="7">
        <v>8386.7672748024615</v>
      </c>
      <c r="E109" s="7">
        <v>8386.728613225705</v>
      </c>
      <c r="F109" s="7">
        <v>9182.7029734614753</v>
      </c>
      <c r="G109" s="7">
        <v>10265.076576412717</v>
      </c>
      <c r="H109" s="7">
        <v>11802.520302559606</v>
      </c>
      <c r="I109" s="7">
        <v>12497.53793167555</v>
      </c>
      <c r="J109" s="7">
        <v>12532.643874762651</v>
      </c>
      <c r="K109" s="7">
        <v>12534.191448814016</v>
      </c>
      <c r="L109" s="7">
        <v>13423.375449137979</v>
      </c>
      <c r="M109" s="7">
        <v>13231.27607766103</v>
      </c>
      <c r="N109" s="7">
        <v>13498.02296460153</v>
      </c>
      <c r="O109" s="7">
        <v>13683.08184332462</v>
      </c>
      <c r="P109" s="7">
        <v>13763.213375475352</v>
      </c>
      <c r="Q109" s="7">
        <v>14051.148934315986</v>
      </c>
      <c r="R109" s="7">
        <v>14391.625971505775</v>
      </c>
      <c r="S109" s="7">
        <v>14789.858360470398</v>
      </c>
      <c r="T109" s="7">
        <v>14777.489577808547</v>
      </c>
      <c r="U109" s="7">
        <v>15001.497440958894</v>
      </c>
      <c r="V109" s="7">
        <v>15733.139194578689</v>
      </c>
      <c r="W109" s="7">
        <v>15749.101957240247</v>
      </c>
      <c r="X109" s="7"/>
    </row>
    <row r="110" spans="1:26" s="6" customFormat="1" ht="15.75" thickBot="1" x14ac:dyDescent="0.3">
      <c r="A110" s="177"/>
      <c r="B110" s="5" t="s">
        <v>1</v>
      </c>
      <c r="C110" s="7"/>
      <c r="D110" s="7">
        <v>15248.597478592194</v>
      </c>
      <c r="E110" s="7">
        <v>16695.823588111769</v>
      </c>
      <c r="F110" s="7">
        <v>18663.775593477669</v>
      </c>
      <c r="G110" s="7">
        <v>21459.12782283565</v>
      </c>
      <c r="H110" s="7">
        <v>22722.79623941009</v>
      </c>
      <c r="I110" s="7">
        <v>22786.625226841181</v>
      </c>
      <c r="J110" s="7">
        <v>22789.438997843663</v>
      </c>
      <c r="K110" s="7">
        <v>24406.137180250873</v>
      </c>
      <c r="L110" s="7">
        <v>24056.865595747324</v>
      </c>
      <c r="M110" s="7">
        <v>24541.859935639146</v>
      </c>
      <c r="N110" s="7">
        <v>24878.330624226583</v>
      </c>
      <c r="O110" s="7">
        <v>25024.02431904609</v>
      </c>
      <c r="P110" s="7">
        <v>25547.543516938164</v>
      </c>
      <c r="Q110" s="7">
        <v>26166.592675465043</v>
      </c>
      <c r="R110" s="7">
        <v>26890.651564491636</v>
      </c>
      <c r="S110" s="7">
        <v>26868.162868742816</v>
      </c>
      <c r="T110" s="7">
        <v>27275.44989265253</v>
      </c>
      <c r="U110" s="7">
        <v>28605.707626506712</v>
      </c>
      <c r="V110" s="7">
        <v>28634.730831345907</v>
      </c>
      <c r="W110" s="7">
        <v>28983.622504005372</v>
      </c>
      <c r="X110" s="7"/>
    </row>
    <row r="111" spans="1:26" s="6" customFormat="1" ht="15.75" thickBot="1" x14ac:dyDescent="0.3">
      <c r="A111" s="10"/>
      <c r="B111" s="72" t="s">
        <v>21</v>
      </c>
      <c r="C111" s="73"/>
      <c r="D111" s="73">
        <v>49510.235503404605</v>
      </c>
      <c r="E111" s="73">
        <v>53579.661210400343</v>
      </c>
      <c r="F111" s="73">
        <v>59376.697057855723</v>
      </c>
      <c r="G111" s="73">
        <v>92628.208006620654</v>
      </c>
      <c r="H111" s="73">
        <v>98968.708712160733</v>
      </c>
      <c r="I111" s="73">
        <v>98981.625754442124</v>
      </c>
      <c r="J111" s="73">
        <v>95572.402298908739</v>
      </c>
      <c r="K111" s="73">
        <v>106658.98599765491</v>
      </c>
      <c r="L111" s="73">
        <v>104531.46015265241</v>
      </c>
      <c r="M111" s="73">
        <v>109187.17052052401</v>
      </c>
      <c r="N111" s="73">
        <v>108990.74414633076</v>
      </c>
      <c r="O111" s="73">
        <v>110060.23225400379</v>
      </c>
      <c r="P111" s="73">
        <v>109844.00110610441</v>
      </c>
      <c r="Q111" s="73">
        <v>111812.07164854802</v>
      </c>
      <c r="R111" s="73">
        <v>118647.53964940367</v>
      </c>
      <c r="S111" s="73">
        <v>118152.61238851876</v>
      </c>
      <c r="T111" s="73">
        <v>114939.86996099817</v>
      </c>
      <c r="U111" s="73">
        <v>124520.18745410195</v>
      </c>
      <c r="V111" s="73">
        <v>125142.89889486962</v>
      </c>
      <c r="W111" s="73">
        <v>128846.17306423468</v>
      </c>
      <c r="X111" s="7"/>
    </row>
    <row r="115" spans="2:23" ht="15.75" thickBot="1" x14ac:dyDescent="0.3"/>
    <row r="116" spans="2:23" ht="17.25" customHeight="1" thickTop="1" x14ac:dyDescent="0.25">
      <c r="B116" s="195" t="s">
        <v>138</v>
      </c>
      <c r="C116" s="196" t="s">
        <v>103</v>
      </c>
      <c r="D116" s="7">
        <f>D72</f>
        <v>164990.12238633924</v>
      </c>
      <c r="E116" s="7">
        <f t="shared" ref="E116:I116" si="0">E72</f>
        <v>177043.62811437057</v>
      </c>
      <c r="F116" s="7">
        <f t="shared" si="0"/>
        <v>191932.70831703951</v>
      </c>
      <c r="G116" s="7">
        <f t="shared" si="0"/>
        <v>207029.22008407413</v>
      </c>
      <c r="H116" s="7">
        <f t="shared" si="0"/>
        <v>223898.38820074953</v>
      </c>
      <c r="I116" s="7">
        <f t="shared" si="0"/>
        <v>235682.45972762886</v>
      </c>
      <c r="J116" s="7">
        <f>J72</f>
        <v>245258.39907192189</v>
      </c>
      <c r="K116" s="7">
        <f t="shared" ref="K116:N116" si="1">K72</f>
        <v>248689.56845533196</v>
      </c>
      <c r="L116" s="7">
        <f t="shared" si="1"/>
        <v>251575.64806147749</v>
      </c>
      <c r="M116" s="7">
        <f t="shared" si="1"/>
        <v>254653.43555560519</v>
      </c>
      <c r="N116" s="7">
        <f t="shared" si="1"/>
        <v>258313.96851082565</v>
      </c>
      <c r="O116" s="7">
        <f t="shared" ref="O116:W116" si="2">O72</f>
        <v>262031.31380297506</v>
      </c>
      <c r="P116" s="7">
        <f t="shared" si="2"/>
        <v>266617.89509161731</v>
      </c>
      <c r="Q116" s="7">
        <f t="shared" si="2"/>
        <v>272670.85895575414</v>
      </c>
      <c r="R116" s="7">
        <f t="shared" si="2"/>
        <v>276745.47119798517</v>
      </c>
      <c r="S116" s="7">
        <f t="shared" si="2"/>
        <v>280717.64179108286</v>
      </c>
      <c r="T116" s="7">
        <f t="shared" si="2"/>
        <v>287005.80265571276</v>
      </c>
      <c r="U116" s="7">
        <f t="shared" si="2"/>
        <v>292194.73837975331</v>
      </c>
      <c r="V116" s="7">
        <f t="shared" si="2"/>
        <v>297861.83303128945</v>
      </c>
      <c r="W116" s="7">
        <f t="shared" si="2"/>
        <v>301300.66722702677</v>
      </c>
    </row>
    <row r="117" spans="2:23" ht="17.25" customHeight="1" thickBot="1" x14ac:dyDescent="0.3">
      <c r="B117" s="197"/>
      <c r="C117" s="198" t="s">
        <v>134</v>
      </c>
      <c r="D117" s="7">
        <f>D100</f>
        <v>176176.64655798944</v>
      </c>
      <c r="E117" s="7">
        <f t="shared" ref="E117:I117" si="3">E100</f>
        <v>197965.84331065079</v>
      </c>
      <c r="F117" s="7">
        <f t="shared" si="3"/>
        <v>222778.63449876345</v>
      </c>
      <c r="G117" s="7">
        <f t="shared" si="3"/>
        <v>227061.72988138418</v>
      </c>
      <c r="H117" s="7">
        <f t="shared" si="3"/>
        <v>231011.44433511599</v>
      </c>
      <c r="I117" s="7">
        <f t="shared" si="3"/>
        <v>235220.20155258369</v>
      </c>
      <c r="J117" s="7">
        <f>J100</f>
        <v>242744.69828952852</v>
      </c>
      <c r="K117" s="7">
        <f t="shared" ref="K117:N117" si="4">K100</f>
        <v>246647.12709195359</v>
      </c>
      <c r="L117" s="7">
        <f t="shared" si="4"/>
        <v>250983.17163767526</v>
      </c>
      <c r="M117" s="7">
        <f t="shared" si="4"/>
        <v>252857.91800236164</v>
      </c>
      <c r="N117" s="7">
        <f t="shared" si="4"/>
        <v>256495.23666874651</v>
      </c>
      <c r="O117" s="7">
        <f t="shared" ref="O117:T117" si="5">O100</f>
        <v>259679.56974384666</v>
      </c>
      <c r="P117" s="7">
        <f t="shared" si="5"/>
        <v>265484.75769529736</v>
      </c>
      <c r="Q117" s="7">
        <f t="shared" si="5"/>
        <v>272130.36319561175</v>
      </c>
      <c r="R117" s="7">
        <f t="shared" si="5"/>
        <v>275223.62748987874</v>
      </c>
      <c r="S117" s="7">
        <f t="shared" si="5"/>
        <v>278663.43684697675</v>
      </c>
      <c r="T117" s="7">
        <f t="shared" si="5"/>
        <v>287171.21271467634</v>
      </c>
      <c r="U117" s="7">
        <f t="shared" ref="U117:W117" si="6">U100</f>
        <v>292196.47012000834</v>
      </c>
      <c r="V117" s="7">
        <f t="shared" si="6"/>
        <v>296655.49468415743</v>
      </c>
      <c r="W117" s="7">
        <f t="shared" si="6"/>
        <v>298973.84551571554</v>
      </c>
    </row>
    <row r="118" spans="2:23" ht="17.25" customHeight="1" x14ac:dyDescent="0.25">
      <c r="B118" s="199" t="s">
        <v>139</v>
      </c>
      <c r="C118" s="200" t="s">
        <v>103</v>
      </c>
      <c r="D118" s="7">
        <f>D75+D76</f>
        <v>179.73941407128103</v>
      </c>
      <c r="E118" s="7">
        <f t="shared" ref="E118:I118" si="7">E75+E76</f>
        <v>202.76776884946486</v>
      </c>
      <c r="F118" s="7">
        <f t="shared" si="7"/>
        <v>211.37298335348356</v>
      </c>
      <c r="G118" s="7">
        <f t="shared" si="7"/>
        <v>172.9607675507591</v>
      </c>
      <c r="H118" s="7">
        <f t="shared" si="7"/>
        <v>161.08242378866106</v>
      </c>
      <c r="I118" s="7">
        <f t="shared" si="7"/>
        <v>6425.7181690856805</v>
      </c>
      <c r="J118" s="7">
        <f>J75+J76</f>
        <v>7332.487252440661</v>
      </c>
      <c r="K118" s="7">
        <f t="shared" ref="K118:N118" si="8">K75+K76</f>
        <v>12521.415197297018</v>
      </c>
      <c r="L118" s="7">
        <f t="shared" si="8"/>
        <v>11982.632975908917</v>
      </c>
      <c r="M118" s="7">
        <f t="shared" si="8"/>
        <v>10811.91908771638</v>
      </c>
      <c r="N118" s="7">
        <f t="shared" si="8"/>
        <v>11783.051645552989</v>
      </c>
      <c r="O118" s="7">
        <f t="shared" ref="O118:T118" si="9">O75+O76</f>
        <v>11525.49591890744</v>
      </c>
      <c r="P118" s="7">
        <f t="shared" si="9"/>
        <v>10848.818889827473</v>
      </c>
      <c r="Q118" s="7">
        <f t="shared" si="9"/>
        <v>10222.807858380513</v>
      </c>
      <c r="R118" s="7">
        <f t="shared" si="9"/>
        <v>12951.275593003524</v>
      </c>
      <c r="S118" s="7">
        <f t="shared" si="9"/>
        <v>12498.034336347228</v>
      </c>
      <c r="T118" s="7">
        <f t="shared" si="9"/>
        <v>9996.8518882102308</v>
      </c>
      <c r="U118" s="7">
        <f t="shared" ref="U118:W118" si="10">U75+U76</f>
        <v>13014.497907441972</v>
      </c>
      <c r="V118" s="7">
        <f t="shared" si="10"/>
        <v>12166.268263476582</v>
      </c>
      <c r="W118" s="7">
        <f t="shared" si="10"/>
        <v>14284.205916099871</v>
      </c>
    </row>
    <row r="119" spans="2:23" ht="17.25" customHeight="1" thickBot="1" x14ac:dyDescent="0.3">
      <c r="B119" s="197"/>
      <c r="C119" s="201" t="s">
        <v>134</v>
      </c>
      <c r="D119" s="7">
        <f>D103+D104</f>
        <v>263.83625916225236</v>
      </c>
      <c r="E119" s="7">
        <f t="shared" ref="E119:I119" si="11">E103+E104</f>
        <v>799.61853686920108</v>
      </c>
      <c r="F119" s="7">
        <f t="shared" si="11"/>
        <v>299.35161663685648</v>
      </c>
      <c r="G119" s="7">
        <f t="shared" si="11"/>
        <v>8755.4371817680585</v>
      </c>
      <c r="H119" s="7">
        <f t="shared" si="11"/>
        <v>12134.701264832496</v>
      </c>
      <c r="I119" s="7">
        <f t="shared" si="11"/>
        <v>11095.940709700542</v>
      </c>
      <c r="J119" s="7">
        <f>J103+J104</f>
        <v>4534.9750276736795</v>
      </c>
      <c r="K119" s="7">
        <f t="shared" ref="K119:N119" si="12">K103+K104</f>
        <v>13497.654462761569</v>
      </c>
      <c r="L119" s="7">
        <f t="shared" si="12"/>
        <v>10462.114131289023</v>
      </c>
      <c r="M119" s="7">
        <f t="shared" si="12"/>
        <v>11959.872437812226</v>
      </c>
      <c r="N119" s="7">
        <f t="shared" si="12"/>
        <v>11929.081564942184</v>
      </c>
      <c r="O119" s="7">
        <f t="shared" ref="O119:T119" si="13">O103+O104</f>
        <v>11215.120943975509</v>
      </c>
      <c r="P119" s="7">
        <f t="shared" si="13"/>
        <v>9843.371671514833</v>
      </c>
      <c r="Q119" s="7">
        <f t="shared" si="13"/>
        <v>9860.7243525105423</v>
      </c>
      <c r="R119" s="7">
        <f t="shared" si="13"/>
        <v>14244.694334393824</v>
      </c>
      <c r="S119" s="7">
        <f t="shared" si="13"/>
        <v>12399.927348219424</v>
      </c>
      <c r="T119" s="7">
        <f t="shared" si="13"/>
        <v>7352.4424289737271</v>
      </c>
      <c r="U119" s="7">
        <f t="shared" ref="U119:W119" si="14">U103+U104</f>
        <v>14367.19664595384</v>
      </c>
      <c r="V119" s="7">
        <f t="shared" si="14"/>
        <v>13365.215719520085</v>
      </c>
      <c r="W119" s="7">
        <f t="shared" si="14"/>
        <v>14270.489974534554</v>
      </c>
    </row>
    <row r="120" spans="2:23" ht="17.25" customHeight="1" x14ac:dyDescent="0.25">
      <c r="B120" s="199" t="s">
        <v>140</v>
      </c>
      <c r="C120" s="200" t="s">
        <v>103</v>
      </c>
      <c r="D120" s="7">
        <f>D80+D81</f>
        <v>20802.730267167695</v>
      </c>
      <c r="E120" s="7">
        <f t="shared" ref="E120:I120" si="15">E80+E81</f>
        <v>20803.002302548935</v>
      </c>
      <c r="F120" s="7">
        <f t="shared" si="15"/>
        <v>21588.932309121221</v>
      </c>
      <c r="G120" s="7">
        <f t="shared" si="15"/>
        <v>23514.357329013481</v>
      </c>
      <c r="H120" s="7">
        <f t="shared" si="15"/>
        <v>25390.699607359194</v>
      </c>
      <c r="I120" s="7">
        <f t="shared" si="15"/>
        <v>27400.353948342035</v>
      </c>
      <c r="J120" s="7">
        <f>J80+J81</f>
        <v>29646.842646634006</v>
      </c>
      <c r="K120" s="7">
        <f t="shared" ref="K120:N120" si="16">K80+K81</f>
        <v>31427.395902296244</v>
      </c>
      <c r="L120" s="7">
        <f t="shared" si="16"/>
        <v>32492.924868399117</v>
      </c>
      <c r="M120" s="7">
        <f t="shared" si="16"/>
        <v>33171.135627983429</v>
      </c>
      <c r="N120" s="7">
        <f t="shared" si="16"/>
        <v>33331.113818744067</v>
      </c>
      <c r="O120" s="7">
        <f t="shared" ref="O120:T120" si="17">O80+O81</f>
        <v>33762.341736106158</v>
      </c>
      <c r="P120" s="7">
        <f t="shared" si="17"/>
        <v>34326.587724465651</v>
      </c>
      <c r="Q120" s="7">
        <f t="shared" si="17"/>
        <v>34743.270298311661</v>
      </c>
      <c r="R120" s="7">
        <f t="shared" si="17"/>
        <v>35362.259576479715</v>
      </c>
      <c r="S120" s="7">
        <f t="shared" si="17"/>
        <v>36153.957803414334</v>
      </c>
      <c r="T120" s="7">
        <f t="shared" si="17"/>
        <v>36815.755049748863</v>
      </c>
      <c r="U120" s="7">
        <f t="shared" ref="U120:W120" si="18">U80+U81</f>
        <v>37211.766443997141</v>
      </c>
      <c r="V120" s="7">
        <f t="shared" si="18"/>
        <v>37998.409276390579</v>
      </c>
      <c r="W120" s="7">
        <f t="shared" si="18"/>
        <v>38890.094323777244</v>
      </c>
    </row>
    <row r="121" spans="2:23" ht="17.25" customHeight="1" thickBot="1" x14ac:dyDescent="0.3">
      <c r="B121" s="202"/>
      <c r="C121" s="203" t="s">
        <v>134</v>
      </c>
      <c r="D121" s="7">
        <f>D108+D109</f>
        <v>20802.730267167695</v>
      </c>
      <c r="E121" s="7">
        <f t="shared" ref="E121:I121" si="19">E108+E109</f>
        <v>20803.002302548935</v>
      </c>
      <c r="F121" s="7">
        <f t="shared" si="19"/>
        <v>21598.919425865817</v>
      </c>
      <c r="G121" s="7">
        <f t="shared" si="19"/>
        <v>23859.701250071063</v>
      </c>
      <c r="H121" s="7">
        <f t="shared" si="19"/>
        <v>26999.555827502489</v>
      </c>
      <c r="I121" s="7">
        <f t="shared" si="19"/>
        <v>29970.697433865949</v>
      </c>
      <c r="J121" s="7">
        <f>J108+J109</f>
        <v>31034.749193529482</v>
      </c>
      <c r="K121" s="7">
        <f t="shared" ref="K121:N121" si="20">K108+K109</f>
        <v>31088.269712961221</v>
      </c>
      <c r="L121" s="7">
        <f t="shared" si="20"/>
        <v>31979.744834803954</v>
      </c>
      <c r="M121" s="7">
        <f t="shared" si="20"/>
        <v>33104.04683067622</v>
      </c>
      <c r="N121" s="7">
        <f t="shared" si="20"/>
        <v>33086.398277317479</v>
      </c>
      <c r="O121" s="7">
        <f t="shared" ref="O121:T121" si="21">O108+O109</f>
        <v>33666.365258949183</v>
      </c>
      <c r="P121" s="7">
        <f t="shared" si="21"/>
        <v>34020.469063320765</v>
      </c>
      <c r="Q121" s="7">
        <f t="shared" si="21"/>
        <v>34427.036152252556</v>
      </c>
      <c r="R121" s="7">
        <f t="shared" si="21"/>
        <v>35193.790274081941</v>
      </c>
      <c r="S121" s="7">
        <f t="shared" si="21"/>
        <v>36096.085306036483</v>
      </c>
      <c r="T121" s="7">
        <f t="shared" si="21"/>
        <v>36673.283655897008</v>
      </c>
      <c r="U121" s="7">
        <f t="shared" ref="U121:W121" si="22">U108+U109</f>
        <v>36878.980030758568</v>
      </c>
      <c r="V121" s="7">
        <f t="shared" si="22"/>
        <v>37942.256471058128</v>
      </c>
      <c r="W121" s="7">
        <f t="shared" si="22"/>
        <v>39041.385602574694</v>
      </c>
    </row>
    <row r="122" spans="2:23" ht="17.25" customHeight="1" x14ac:dyDescent="0.25">
      <c r="B122" s="199" t="s">
        <v>141</v>
      </c>
      <c r="C122" s="200" t="s">
        <v>103</v>
      </c>
      <c r="D122" s="7">
        <f>D79+D82</f>
        <v>29734.765083254777</v>
      </c>
      <c r="E122" s="7">
        <f t="shared" ref="E122:K122" si="23">E79+E82</f>
        <v>32521.447128359854</v>
      </c>
      <c r="F122" s="7">
        <f t="shared" si="23"/>
        <v>35222.382646905447</v>
      </c>
      <c r="G122" s="7">
        <f t="shared" si="23"/>
        <v>37876.241841185387</v>
      </c>
      <c r="H122" s="7">
        <f t="shared" si="23"/>
        <v>41072.44751010531</v>
      </c>
      <c r="I122" s="7">
        <f t="shared" si="23"/>
        <v>44305.416352262517</v>
      </c>
      <c r="J122" s="7">
        <f t="shared" si="23"/>
        <v>45832.00585308981</v>
      </c>
      <c r="K122" s="7">
        <f t="shared" si="23"/>
        <v>47349.735638713202</v>
      </c>
      <c r="L122" s="7">
        <f t="shared" ref="L122:O122" si="24">L79+L82</f>
        <v>47507.362782690339</v>
      </c>
      <c r="M122" s="7">
        <f t="shared" si="24"/>
        <v>47841.197500783179</v>
      </c>
      <c r="N122" s="7">
        <f t="shared" si="24"/>
        <v>48875.867525427886</v>
      </c>
      <c r="O122" s="7">
        <f t="shared" si="24"/>
        <v>49344.588419059306</v>
      </c>
      <c r="P122" s="7">
        <f t="shared" ref="P122:T122" si="25">P79+P82</f>
        <v>50127.994998609734</v>
      </c>
      <c r="Q122" s="7">
        <f t="shared" si="25"/>
        <v>51162.791224131906</v>
      </c>
      <c r="R122" s="7">
        <f t="shared" si="25"/>
        <v>52437.74685553911</v>
      </c>
      <c r="S122" s="7">
        <f t="shared" si="25"/>
        <v>52896.598064778154</v>
      </c>
      <c r="T122" s="7">
        <f t="shared" si="25"/>
        <v>53621.327589866189</v>
      </c>
      <c r="U122" s="7">
        <f t="shared" ref="U122:W122" si="26">U79+U82</f>
        <v>55337.40090479466</v>
      </c>
      <c r="V122" s="7">
        <f t="shared" si="26"/>
        <v>55958.251766444722</v>
      </c>
      <c r="W122" s="7">
        <f t="shared" si="26"/>
        <v>57045.233024356981</v>
      </c>
    </row>
    <row r="123" spans="2:23" ht="17.25" customHeight="1" thickBot="1" x14ac:dyDescent="0.3">
      <c r="B123" s="202"/>
      <c r="C123" s="203" t="s">
        <v>134</v>
      </c>
      <c r="D123" s="7">
        <f>D107+D110</f>
        <v>22491.681280923483</v>
      </c>
      <c r="E123" s="7">
        <f t="shared" ref="E123:K123" si="27">E107+E110</f>
        <v>24626.33979246486</v>
      </c>
      <c r="F123" s="7">
        <f t="shared" si="27"/>
        <v>27529.069000379561</v>
      </c>
      <c r="G123" s="7">
        <f t="shared" si="27"/>
        <v>41845.299254529513</v>
      </c>
      <c r="H123" s="7">
        <f t="shared" si="27"/>
        <v>44309.452666849684</v>
      </c>
      <c r="I123" s="7">
        <f t="shared" si="27"/>
        <v>44433.919192340298</v>
      </c>
      <c r="J123" s="7">
        <f t="shared" si="27"/>
        <v>44439.406045795142</v>
      </c>
      <c r="K123" s="7">
        <f t="shared" si="27"/>
        <v>47591.967501489198</v>
      </c>
      <c r="L123" s="7">
        <f t="shared" ref="L123:O123" si="28">L107+L110</f>
        <v>46910.887911707279</v>
      </c>
      <c r="M123" s="7">
        <f t="shared" si="28"/>
        <v>47856.626874496331</v>
      </c>
      <c r="N123" s="7">
        <f t="shared" si="28"/>
        <v>48512.744717241832</v>
      </c>
      <c r="O123" s="7">
        <f t="shared" si="28"/>
        <v>48796.847422139879</v>
      </c>
      <c r="P123" s="7">
        <f t="shared" ref="P123:T123" si="29">P107+P110</f>
        <v>49817.709858029419</v>
      </c>
      <c r="Q123" s="7">
        <f t="shared" si="29"/>
        <v>51024.855717156839</v>
      </c>
      <c r="R123" s="7">
        <f t="shared" si="29"/>
        <v>52436.770550758694</v>
      </c>
      <c r="S123" s="7">
        <f t="shared" si="29"/>
        <v>52392.917594048486</v>
      </c>
      <c r="T123" s="7">
        <f t="shared" si="29"/>
        <v>53187.127290672433</v>
      </c>
      <c r="U123" s="7">
        <f t="shared" ref="U123:W123" si="30">U107+U110</f>
        <v>55781.129871688085</v>
      </c>
      <c r="V123" s="7">
        <f t="shared" si="30"/>
        <v>55837.725121124517</v>
      </c>
      <c r="W123" s="7">
        <f t="shared" si="30"/>
        <v>56518.063882810478</v>
      </c>
    </row>
    <row r="124" spans="2:23" ht="15.75" thickBot="1" x14ac:dyDescent="0.3">
      <c r="B124" s="195" t="s">
        <v>104</v>
      </c>
      <c r="C124" s="204" t="s">
        <v>103</v>
      </c>
      <c r="D124" s="71">
        <v>8.7332341410512618E-2</v>
      </c>
      <c r="E124" s="71">
        <v>0.15834450791160021</v>
      </c>
      <c r="F124" s="71">
        <v>0.17410283110931976</v>
      </c>
      <c r="G124" s="71">
        <v>0.13232677386445571</v>
      </c>
      <c r="H124" s="71">
        <v>8.1433964502090811E-2</v>
      </c>
      <c r="I124" s="71">
        <v>4.9999145918277602E-2</v>
      </c>
      <c r="J124" s="71">
        <v>4.8266948701902068E-2</v>
      </c>
      <c r="K124" s="71">
        <v>4.8593883626075113E-2</v>
      </c>
      <c r="L124" s="71">
        <v>4.3527868455400735E-2</v>
      </c>
      <c r="M124" s="71">
        <v>4.7379071784524475E-2</v>
      </c>
      <c r="N124" s="71">
        <v>4.7200033284033584E-2</v>
      </c>
      <c r="O124" s="71">
        <v>4.8251576715806377E-2</v>
      </c>
      <c r="P124" s="71">
        <v>4.661671032320349E-2</v>
      </c>
      <c r="Q124" s="71">
        <v>4.8298846083759867E-2</v>
      </c>
      <c r="R124" s="71">
        <v>4.8406053835685428E-2</v>
      </c>
      <c r="S124" s="71">
        <v>4.6458657296405408E-2</v>
      </c>
      <c r="T124" s="71">
        <v>4.9721552251913534E-2</v>
      </c>
      <c r="U124" s="71">
        <v>4.6793872472217196E-2</v>
      </c>
      <c r="V124" s="71">
        <v>4.9392058397960813E-2</v>
      </c>
      <c r="W124" s="21">
        <v>4.6865965268916523E-2</v>
      </c>
    </row>
    <row r="125" spans="2:23" ht="15.75" thickBot="1" x14ac:dyDescent="0.3">
      <c r="B125" s="205"/>
      <c r="C125" s="206" t="s">
        <v>134</v>
      </c>
      <c r="D125" s="71">
        <v>4.6412375210998523E-2</v>
      </c>
      <c r="E125" s="71">
        <v>7.5625800100617147E-2</v>
      </c>
      <c r="F125" s="71">
        <v>5.1292997198191664E-2</v>
      </c>
      <c r="G125" s="71">
        <v>4.6077763733955127E-2</v>
      </c>
      <c r="H125" s="71">
        <v>4.930467164257888E-2</v>
      </c>
      <c r="I125" s="71">
        <v>4.8493517508101269E-2</v>
      </c>
      <c r="J125" s="71">
        <v>4.4797165698076187E-2</v>
      </c>
      <c r="K125" s="71">
        <v>4.7080470591393218E-2</v>
      </c>
      <c r="L125" s="71">
        <v>4.7769854096808409E-2</v>
      </c>
      <c r="M125" s="71">
        <v>4.8371099715524161E-2</v>
      </c>
      <c r="N125" s="71">
        <v>4.98032066585542E-2</v>
      </c>
      <c r="O125" s="71">
        <v>4.9249106012066876E-2</v>
      </c>
      <c r="P125" s="71">
        <v>4.7799853869841251E-2</v>
      </c>
      <c r="Q125" s="71">
        <v>4.9587832870542622E-2</v>
      </c>
      <c r="R125" s="71">
        <v>4.932204405229941E-2</v>
      </c>
      <c r="S125" s="71">
        <v>4.7659825212806907E-2</v>
      </c>
      <c r="T125" s="71">
        <v>4.500229162662641E-2</v>
      </c>
      <c r="U125" s="71">
        <v>4.700267437798001E-2</v>
      </c>
      <c r="V125" s="71">
        <v>4.914123185580424E-2</v>
      </c>
      <c r="W125" s="21">
        <v>4.7801680943480557E-2</v>
      </c>
    </row>
    <row r="126" spans="2:23" ht="15.75" thickTop="1" x14ac:dyDescent="0.25"/>
  </sheetData>
  <mergeCells count="17">
    <mergeCell ref="B120:B121"/>
    <mergeCell ref="B124:B125"/>
    <mergeCell ref="B122:B123"/>
    <mergeCell ref="A88:I88"/>
    <mergeCell ref="A92:A99"/>
    <mergeCell ref="A103:A110"/>
    <mergeCell ref="B116:B117"/>
    <mergeCell ref="B118:B119"/>
    <mergeCell ref="A75:A82"/>
    <mergeCell ref="A2:I2"/>
    <mergeCell ref="A31:I31"/>
    <mergeCell ref="A35:A42"/>
    <mergeCell ref="A46:A53"/>
    <mergeCell ref="A60:I60"/>
    <mergeCell ref="A64:A71"/>
    <mergeCell ref="A6:A13"/>
    <mergeCell ref="A17:A24"/>
  </mergeCells>
  <conditionalFormatting sqref="X16:X24 X26">
    <cfRule type="expression" dxfId="17" priority="22">
      <formula>X16&lt;0</formula>
    </cfRule>
  </conditionalFormatting>
  <conditionalFormatting sqref="X25">
    <cfRule type="expression" dxfId="16" priority="20">
      <formula>X25&lt;0</formula>
    </cfRule>
  </conditionalFormatting>
  <conditionalFormatting sqref="C17 C16:W16 C26:W26 C18:W24">
    <cfRule type="expression" dxfId="15" priority="14">
      <formula>C16&lt;0</formula>
    </cfRule>
  </conditionalFormatting>
  <conditionalFormatting sqref="D17:W17">
    <cfRule type="expression" dxfId="14" priority="13">
      <formula>D17&lt;0</formula>
    </cfRule>
  </conditionalFormatting>
  <conditionalFormatting sqref="X45:X53">
    <cfRule type="expression" dxfId="13" priority="12">
      <formula>X45&lt;0</formula>
    </cfRule>
  </conditionalFormatting>
  <conditionalFormatting sqref="X54">
    <cfRule type="expression" dxfId="12" priority="11">
      <formula>X54&lt;0</formula>
    </cfRule>
  </conditionalFormatting>
  <conditionalFormatting sqref="C46 C45:W45 C47:W53">
    <cfRule type="expression" dxfId="11" priority="10">
      <formula>C45&lt;0</formula>
    </cfRule>
  </conditionalFormatting>
  <conditionalFormatting sqref="D46:W46">
    <cfRule type="expression" dxfId="10" priority="9">
      <formula>D46&lt;0</formula>
    </cfRule>
  </conditionalFormatting>
  <conditionalFormatting sqref="X74:X82">
    <cfRule type="expression" dxfId="9" priority="8">
      <formula>X74&lt;0</formula>
    </cfRule>
  </conditionalFormatting>
  <conditionalFormatting sqref="X83">
    <cfRule type="expression" dxfId="8" priority="7">
      <formula>X83&lt;0</formula>
    </cfRule>
  </conditionalFormatting>
  <conditionalFormatting sqref="C75 C74:W74 C76:W82">
    <cfRule type="expression" dxfId="7" priority="6">
      <formula>C74&lt;0</formula>
    </cfRule>
  </conditionalFormatting>
  <conditionalFormatting sqref="D75:W75">
    <cfRule type="expression" dxfId="6" priority="5">
      <formula>D75&lt;0</formula>
    </cfRule>
  </conditionalFormatting>
  <conditionalFormatting sqref="X102:X110">
    <cfRule type="expression" dxfId="5" priority="4">
      <formula>X102&lt;0</formula>
    </cfRule>
  </conditionalFormatting>
  <conditionalFormatting sqref="X111">
    <cfRule type="expression" dxfId="4" priority="3">
      <formula>X111&lt;0</formula>
    </cfRule>
  </conditionalFormatting>
  <conditionalFormatting sqref="C103 C102:W102 C104:W110">
    <cfRule type="expression" dxfId="3" priority="2">
      <formula>C102&lt;0</formula>
    </cfRule>
  </conditionalFormatting>
  <conditionalFormatting sqref="D103:W103">
    <cfRule type="expression" dxfId="2" priority="1">
      <formula>D103&lt;0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MR 5.65</vt:lpstr>
      <vt:lpstr>Entradas 5.65</vt:lpstr>
      <vt:lpstr>I-O 5.65</vt:lpstr>
      <vt:lpstr>Tasa Reempl</vt:lpstr>
      <vt:lpstr>Resultados 5.65</vt:lpstr>
      <vt:lpstr>'Entradas 5.65'!crec</vt:lpstr>
      <vt:lpstr>Dispon</vt:lpstr>
      <vt:lpstr>UAEq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Köbrich</dc:creator>
  <cp:lastModifiedBy>Claus</cp:lastModifiedBy>
  <dcterms:created xsi:type="dcterms:W3CDTF">2015-09-24T17:48:03Z</dcterms:created>
  <dcterms:modified xsi:type="dcterms:W3CDTF">2016-04-02T21:33:14Z</dcterms:modified>
</cp:coreProperties>
</file>